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0115" windowHeight="8010" firstSheet="1" activeTab="5"/>
  </bookViews>
  <sheets>
    <sheet name="Pivot Table" sheetId="7" r:id="rId1"/>
    <sheet name="Pivot" sheetId="14" r:id="rId2"/>
    <sheet name="Source Data" sheetId="1" r:id="rId3"/>
    <sheet name="Lists" sheetId="12" r:id="rId4"/>
    <sheet name="week" sheetId="13" r:id="rId5"/>
    <sheet name="Dashboard" sheetId="17" r:id="rId6"/>
  </sheets>
  <definedNames>
    <definedName name="catogories">Lists!$A$2:$A$8</definedName>
    <definedName name="P_method">Lists!$B$2:$B$5</definedName>
  </definedNames>
  <calcPr calcId="125725"/>
  <pivotCaches>
    <pivotCache cacheId="1" r:id="rId7"/>
  </pivotCaches>
</workbook>
</file>

<file path=xl/calcChain.xml><?xml version="1.0" encoding="utf-8"?>
<calcChain xmlns="http://schemas.openxmlformats.org/spreadsheetml/2006/main">
  <c r="D8" i="1"/>
  <c r="C4" i="13"/>
  <c r="C5"/>
  <c r="C6"/>
  <c r="C7"/>
  <c r="C8"/>
  <c r="C9"/>
  <c r="C10"/>
  <c r="K3" i="17"/>
  <c r="J3"/>
  <c r="C11" i="13"/>
  <c r="C12"/>
  <c r="C3"/>
  <c r="D5" i="17"/>
  <c r="D9" i="1"/>
  <c r="C5" i="17" s="1"/>
  <c r="D10" i="1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B11" i="13"/>
  <c r="B12"/>
  <c r="B8"/>
  <c r="B9" s="1"/>
  <c r="B10" s="1"/>
  <c r="B5"/>
  <c r="B6"/>
  <c r="B7" s="1"/>
  <c r="B4"/>
  <c r="J4" i="14" l="1"/>
  <c r="G4" i="17"/>
  <c r="E4"/>
  <c r="G9"/>
  <c r="E9"/>
  <c r="C9"/>
  <c r="F8"/>
  <c r="D8"/>
  <c r="G7"/>
  <c r="E7"/>
  <c r="C7"/>
  <c r="F6"/>
  <c r="D6"/>
  <c r="J6" s="1"/>
  <c r="G5"/>
  <c r="E5"/>
  <c r="C4"/>
  <c r="F4"/>
  <c r="D4"/>
  <c r="K4" s="1"/>
  <c r="F9"/>
  <c r="D9"/>
  <c r="K9" s="1"/>
  <c r="G8"/>
  <c r="E8"/>
  <c r="C8"/>
  <c r="K8" s="1"/>
  <c r="F7"/>
  <c r="D7"/>
  <c r="G6"/>
  <c r="E6"/>
  <c r="C6"/>
  <c r="F5"/>
  <c r="I2"/>
  <c r="J5"/>
  <c r="K5"/>
  <c r="K6"/>
  <c r="J8"/>
  <c r="J9"/>
  <c r="M22" i="1"/>
  <c r="J7" i="17" l="1"/>
  <c r="K7"/>
  <c r="J4"/>
  <c r="M25" i="1"/>
  <c r="M23"/>
  <c r="M17"/>
  <c r="M26"/>
  <c r="M19"/>
  <c r="M11"/>
  <c r="M10"/>
  <c r="M9"/>
  <c r="M7"/>
  <c r="M8"/>
  <c r="I59"/>
  <c r="I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</calcChain>
</file>

<file path=xl/sharedStrings.xml><?xml version="1.0" encoding="utf-8"?>
<sst xmlns="http://schemas.openxmlformats.org/spreadsheetml/2006/main" count="323" uniqueCount="80">
  <si>
    <t>DATE</t>
  </si>
  <si>
    <t>Gas pipe</t>
  </si>
  <si>
    <t>Dairy</t>
  </si>
  <si>
    <t>Taadpatri</t>
  </si>
  <si>
    <t>AMOUNT</t>
  </si>
  <si>
    <t>DESCRIPTION</t>
  </si>
  <si>
    <t>TOTAL</t>
  </si>
  <si>
    <t>SUBTOTAL</t>
  </si>
  <si>
    <t>CATOGORY</t>
  </si>
  <si>
    <t>PAYMENT MEHOD</t>
  </si>
  <si>
    <t>ATM</t>
  </si>
  <si>
    <t>Withdrawal by ATM</t>
  </si>
  <si>
    <t>Debit Card</t>
  </si>
  <si>
    <t>Groceries</t>
  </si>
  <si>
    <t>Jar Water</t>
  </si>
  <si>
    <t>UPI</t>
  </si>
  <si>
    <t>Allowance</t>
  </si>
  <si>
    <t>Fund transfer to hdfc bank</t>
  </si>
  <si>
    <t>DAY</t>
  </si>
  <si>
    <t>Chicken</t>
  </si>
  <si>
    <t>Monthly groceries payment</t>
  </si>
  <si>
    <t>Bakery Item</t>
  </si>
  <si>
    <t>Fund transfer to Kotak bank</t>
  </si>
  <si>
    <t>Repair</t>
  </si>
  <si>
    <t>Spectacle Repair</t>
  </si>
  <si>
    <t>Health Care</t>
  </si>
  <si>
    <t>Medicine</t>
  </si>
  <si>
    <t>Sasaane Shop</t>
  </si>
  <si>
    <t>Utilities</t>
  </si>
  <si>
    <t>Mobile Recharge</t>
  </si>
  <si>
    <t>Gas Refil</t>
  </si>
  <si>
    <t>Fund transfer to pnb bank</t>
  </si>
  <si>
    <t>Razor Pay</t>
  </si>
  <si>
    <t>Shop</t>
  </si>
  <si>
    <t>Transfer to Bhai</t>
  </si>
  <si>
    <t>Sweet</t>
  </si>
  <si>
    <t>Plastic Rope</t>
  </si>
  <si>
    <t>Xerox</t>
  </si>
  <si>
    <t>Petrol/Fuel</t>
  </si>
  <si>
    <t>EMI</t>
  </si>
  <si>
    <t>Bank Transfer</t>
  </si>
  <si>
    <t>MONTHLY EXPENCE TRACK  MAY - JUNE 2025</t>
  </si>
  <si>
    <t>Row Labels</t>
  </si>
  <si>
    <t>Grand Total</t>
  </si>
  <si>
    <t>Column Labels</t>
  </si>
  <si>
    <t>Count of AMOUNT</t>
  </si>
  <si>
    <t>Average</t>
  </si>
  <si>
    <t>Sum</t>
  </si>
  <si>
    <t>No of Txn</t>
  </si>
  <si>
    <t>Min Expense</t>
  </si>
  <si>
    <t>Max Expense</t>
  </si>
  <si>
    <t>Common Function</t>
  </si>
  <si>
    <t xml:space="preserve">Lookup and </t>
  </si>
  <si>
    <t>Coditional Formulas</t>
  </si>
  <si>
    <t>for Specific Retrieval</t>
  </si>
  <si>
    <t>Index Match</t>
  </si>
  <si>
    <t>To Find the Catogory</t>
  </si>
  <si>
    <t>for a specific  date</t>
  </si>
  <si>
    <t>Average spending on Health</t>
  </si>
  <si>
    <t>care for medicine</t>
  </si>
  <si>
    <t>If Error formula</t>
  </si>
  <si>
    <t>Alloowance</t>
  </si>
  <si>
    <t>Transportation</t>
  </si>
  <si>
    <t>PAYMENT METHOD</t>
  </si>
  <si>
    <t>CATOGORIES</t>
  </si>
  <si>
    <t>Cash</t>
  </si>
  <si>
    <t>No of TXN</t>
  </si>
  <si>
    <t>Total Spending by Description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</si>
  <si>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</si>
  <si>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</si>
  <si>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</si>
  <si>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</si>
  <si>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</si>
  <si>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</si>
  <si>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</si>
  <si>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</si>
  <si>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</si>
  <si>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</si>
  <si>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Sum of AMOUNT</t>
  </si>
  <si>
    <t>WeekDay</t>
  </si>
</sst>
</file>

<file path=xl/styles.xml><?xml version="1.0" encoding="utf-8"?>
<styleSheet xmlns="http://schemas.openxmlformats.org/spreadsheetml/2006/main">
  <numFmts count="2">
    <numFmt numFmtId="164" formatCode="[$-F800]dddd\,\ mmmm\ dd\,\ yyyy"/>
    <numFmt numFmtId="165" formatCode="&quot;₹&quot;\ #,##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2" borderId="0" xfId="0" applyFill="1" applyAlignment="1">
      <alignment horizontal="center" vertical="center"/>
    </xf>
    <xf numFmtId="14" fontId="0" fillId="0" borderId="0" xfId="0" applyNumberFormat="1" applyAlignment="1">
      <alignment horizontal="left"/>
    </xf>
    <xf numFmtId="165" fontId="0" fillId="0" borderId="0" xfId="0" applyNumberFormat="1"/>
    <xf numFmtId="0" fontId="4" fillId="0" borderId="0" xfId="0" applyFont="1"/>
    <xf numFmtId="0" fontId="0" fillId="4" borderId="0" xfId="0" applyFill="1"/>
    <xf numFmtId="0" fontId="3" fillId="2" borderId="0" xfId="0" applyFont="1" applyFill="1"/>
    <xf numFmtId="165" fontId="0" fillId="4" borderId="0" xfId="0" applyNumberFormat="1" applyFill="1"/>
    <xf numFmtId="165" fontId="0" fillId="4" borderId="7" xfId="0" applyNumberFormat="1" applyFill="1" applyBorder="1"/>
    <xf numFmtId="0" fontId="0" fillId="4" borderId="7" xfId="0" applyFont="1" applyFill="1" applyBorder="1"/>
    <xf numFmtId="0" fontId="0" fillId="4" borderId="7" xfId="0" applyNumberFormat="1" applyFill="1" applyBorder="1"/>
    <xf numFmtId="0" fontId="0" fillId="3" borderId="7" xfId="0" applyFill="1" applyBorder="1"/>
    <xf numFmtId="165" fontId="0" fillId="3" borderId="7" xfId="0" applyNumberFormat="1" applyFill="1" applyBorder="1"/>
    <xf numFmtId="165" fontId="0" fillId="4" borderId="8" xfId="0" applyNumberFormat="1" applyFill="1" applyBorder="1"/>
    <xf numFmtId="0" fontId="4" fillId="3" borderId="7" xfId="0" applyFont="1" applyFill="1" applyBorder="1"/>
    <xf numFmtId="0" fontId="5" fillId="3" borderId="0" xfId="0" applyFont="1" applyFill="1"/>
    <xf numFmtId="0" fontId="1" fillId="3" borderId="7" xfId="0" applyFont="1" applyFill="1" applyBorder="1"/>
    <xf numFmtId="0" fontId="0" fillId="4" borderId="7" xfId="0" applyFill="1" applyBorder="1"/>
    <xf numFmtId="0" fontId="0" fillId="5" borderId="9" xfId="0" applyFont="1" applyFill="1" applyBorder="1"/>
    <xf numFmtId="0" fontId="0" fillId="6" borderId="10" xfId="0" applyFont="1" applyFill="1" applyBorder="1"/>
    <xf numFmtId="0" fontId="0" fillId="5" borderId="10" xfId="0" applyFont="1" applyFill="1" applyBorder="1"/>
    <xf numFmtId="0" fontId="0" fillId="4" borderId="8" xfId="0" applyNumberFormat="1" applyFill="1" applyBorder="1"/>
    <xf numFmtId="0" fontId="0" fillId="7" borderId="0" xfId="0" applyFill="1"/>
    <xf numFmtId="0" fontId="0" fillId="7" borderId="7" xfId="0" applyFill="1" applyBorder="1"/>
    <xf numFmtId="164" fontId="1" fillId="0" borderId="0" xfId="0" applyNumberFormat="1" applyFont="1" applyAlignment="1">
      <alignment horizontal="center"/>
    </xf>
    <xf numFmtId="0" fontId="0" fillId="11" borderId="7" xfId="0" applyFill="1" applyBorder="1"/>
    <xf numFmtId="0" fontId="0" fillId="9" borderId="7" xfId="0" applyFill="1" applyBorder="1"/>
    <xf numFmtId="0" fontId="0" fillId="8" borderId="7" xfId="0" applyFill="1" applyBorder="1"/>
    <xf numFmtId="0" fontId="0" fillId="12" borderId="7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10" borderId="14" xfId="0" applyFill="1" applyBorder="1"/>
    <xf numFmtId="0" fontId="0" fillId="10" borderId="15" xfId="0" applyFill="1" applyBorder="1"/>
    <xf numFmtId="0" fontId="0" fillId="10" borderId="8" xfId="0" applyFill="1" applyBorder="1"/>
    <xf numFmtId="0" fontId="0" fillId="11" borderId="11" xfId="0" applyFill="1" applyBorder="1"/>
    <xf numFmtId="0" fontId="0" fillId="11" borderId="12" xfId="0" applyFill="1" applyBorder="1"/>
    <xf numFmtId="0" fontId="0" fillId="11" borderId="13" xfId="0" applyFill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5" formatCode="&quot;₹&quot;\ #,##0"/>
      <alignment horizontal="center" vertical="bottom" textRotation="0" wrapText="0" indent="0" relativeIndent="255" justifyLastLine="0" shrinkToFit="0" mergeCell="0" readingOrder="0"/>
    </dxf>
    <dxf>
      <numFmt numFmtId="0" formatCode="General"/>
    </dxf>
    <dxf>
      <numFmt numFmtId="164" formatCode="[$-F800]dddd\,\ mmmm\ dd\,\ yyyy"/>
      <alignment horizontal="left" vertical="bottom" textRotation="0" wrapText="0" indent="0" relativeIndent="0" justifyLastLine="0" shrinkToFit="0" mergeCell="0" readingOrder="0"/>
    </dxf>
    <dxf>
      <fill>
        <patternFill patternType="solid">
          <fgColor indexed="64"/>
          <bgColor theme="5" tint="-0.249977111117893"/>
        </patternFill>
      </fill>
      <alignment horizontal="center" vertical="center" textRotation="0" wrapText="0" indent="0" relativeIndent="255" justifyLastLine="0" shrinkToFit="0" mergeCell="0" readingOrder="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Dashboard!$J$3</c:f>
              <c:strCache>
                <c:ptCount val="1"/>
                <c:pt idx="0">
                  <c:v>Week 5</c:v>
                </c:pt>
              </c:strCache>
            </c:strRef>
          </c:tx>
          <c:cat>
            <c:strRef>
              <c:f>Dashboard!$I$4:$I$9</c:f>
              <c:strCache>
                <c:ptCount val="6"/>
                <c:pt idx="0">
                  <c:v>Allowance</c:v>
                </c:pt>
                <c:pt idx="1">
                  <c:v>ATM</c:v>
                </c:pt>
                <c:pt idx="2">
                  <c:v>Groceries</c:v>
                </c:pt>
                <c:pt idx="3">
                  <c:v>Health Care</c:v>
                </c:pt>
                <c:pt idx="4">
                  <c:v>Repair</c:v>
                </c:pt>
                <c:pt idx="5">
                  <c:v>Utilities</c:v>
                </c:pt>
              </c:strCache>
            </c:strRef>
          </c:cat>
          <c:val>
            <c:numRef>
              <c:f>Dashboard!$J$4:$J$9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170</c:v>
                </c:pt>
                <c:pt idx="3">
                  <c:v>20</c:v>
                </c:pt>
                <c:pt idx="4">
                  <c:v>0</c:v>
                </c:pt>
                <c:pt idx="5">
                  <c:v>1006</c:v>
                </c:pt>
              </c:numCache>
            </c:numRef>
          </c:val>
        </c:ser>
        <c:ser>
          <c:idx val="1"/>
          <c:order val="1"/>
          <c:tx>
            <c:strRef>
              <c:f>Dashboard!$K$3</c:f>
              <c:strCache>
                <c:ptCount val="1"/>
                <c:pt idx="0">
                  <c:v>Week 3</c:v>
                </c:pt>
              </c:strCache>
            </c:strRef>
          </c:tx>
          <c:dLbls>
            <c:showVal val="1"/>
          </c:dLbls>
          <c:cat>
            <c:strRef>
              <c:f>Dashboard!$I$4:$I$9</c:f>
              <c:strCache>
                <c:ptCount val="6"/>
                <c:pt idx="0">
                  <c:v>Allowance</c:v>
                </c:pt>
                <c:pt idx="1">
                  <c:v>ATM</c:v>
                </c:pt>
                <c:pt idx="2">
                  <c:v>Groceries</c:v>
                </c:pt>
                <c:pt idx="3">
                  <c:v>Health Care</c:v>
                </c:pt>
                <c:pt idx="4">
                  <c:v>Repair</c:v>
                </c:pt>
                <c:pt idx="5">
                  <c:v>Utilities</c:v>
                </c:pt>
              </c:strCache>
            </c:strRef>
          </c:cat>
          <c:val>
            <c:numRef>
              <c:f>Dashboard!$K$4:$K$9</c:f>
              <c:numCache>
                <c:formatCode>General</c:formatCode>
                <c:ptCount val="6"/>
                <c:pt idx="0">
                  <c:v>115</c:v>
                </c:pt>
                <c:pt idx="1">
                  <c:v>0</c:v>
                </c:pt>
                <c:pt idx="2">
                  <c:v>40</c:v>
                </c:pt>
                <c:pt idx="3">
                  <c:v>140</c:v>
                </c:pt>
                <c:pt idx="4">
                  <c:v>0</c:v>
                </c:pt>
                <c:pt idx="5">
                  <c:v>3702</c:v>
                </c:pt>
              </c:numCache>
            </c:numRef>
          </c:val>
        </c:ser>
        <c:gapWidth val="30"/>
        <c:axId val="143454208"/>
        <c:axId val="143455744"/>
      </c:barChart>
      <c:catAx>
        <c:axId val="143454208"/>
        <c:scaling>
          <c:orientation val="minMax"/>
        </c:scaling>
        <c:axPos val="b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43455744"/>
        <c:crosses val="autoZero"/>
        <c:auto val="1"/>
        <c:lblAlgn val="ctr"/>
        <c:lblOffset val="100"/>
      </c:catAx>
      <c:valAx>
        <c:axId val="143455744"/>
        <c:scaling>
          <c:orientation val="minMax"/>
        </c:scaling>
        <c:delete val="1"/>
        <c:axPos val="l"/>
        <c:numFmt formatCode="General" sourceLinked="1"/>
        <c:tickLblPos val="none"/>
        <c:crossAx val="143454208"/>
        <c:crosses val="autoZero"/>
        <c:crossBetween val="between"/>
      </c:valAx>
      <c:spPr>
        <a:solidFill>
          <a:schemeClr val="accent3">
            <a:lumMod val="40000"/>
            <a:lumOff val="60000"/>
          </a:schemeClr>
        </a:solidFill>
      </c:spPr>
    </c:plotArea>
    <c:legend>
      <c:legendPos val="t"/>
      <c:layout>
        <c:manualLayout>
          <c:xMode val="edge"/>
          <c:yMode val="edge"/>
          <c:x val="0.50990426046819171"/>
          <c:y val="4.6989720998531603E-2"/>
          <c:w val="0.20008137663451728"/>
          <c:h val="0.10621388185507649"/>
        </c:manualLayout>
      </c:layout>
    </c:legend>
    <c:plotVisOnly val="1"/>
  </c:chart>
  <c:spPr>
    <a:solidFill>
      <a:schemeClr val="accent3">
        <a:lumMod val="40000"/>
        <a:lumOff val="60000"/>
      </a:schemeClr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12</xdr:row>
      <xdr:rowOff>38100</xdr:rowOff>
    </xdr:from>
    <xdr:to>
      <xdr:col>11</xdr:col>
      <xdr:colOff>0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0.58471</cdr:x>
      <cdr:y>0.35242</cdr:y>
    </cdr:from>
    <cdr:to>
      <cdr:x>0.97901</cdr:x>
      <cdr:y>0.47577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14750" y="762001"/>
          <a:ext cx="2505075" cy="2666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0.26237</cdr:x>
      <cdr:y>0.03084</cdr:y>
    </cdr:from>
    <cdr:to>
      <cdr:x>0.66117</cdr:x>
      <cdr:y>0.14097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66875" y="66675"/>
          <a:ext cx="25336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Expense Comparision</a:t>
          </a:r>
          <a:r>
            <a:rPr lang="en-US" sz="1100" baseline="0"/>
            <a:t> for</a:t>
          </a:r>
          <a:endParaRPr 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etan R. Borse" refreshedDate="45850.668687731479" createdVersion="3" refreshedVersion="3" minRefreshableVersion="3" recordCount="50">
  <cacheSource type="worksheet">
    <worksheetSource ref="C7:I57" sheet="Source Data"/>
  </cacheSource>
  <cacheFields count="7">
    <cacheField name="DATE" numFmtId="164">
      <sharedItems containsSemiMixedTypes="0" containsNonDate="0" containsDate="1" containsString="0" minDate="2025-05-09T00:00:00" maxDate="2025-06-06T00:00:00" count="22">
        <d v="2025-05-09T00:00:00"/>
        <d v="2025-05-10T00:00:00"/>
        <d v="2025-05-11T00:00:00"/>
        <d v="2025-05-13T00:00:00"/>
        <d v="2025-05-14T00:00:00"/>
        <d v="2025-05-15T00:00:00"/>
        <d v="2025-05-16T00:00:00"/>
        <d v="2025-05-17T00:00:00"/>
        <d v="2025-05-19T00:00:00"/>
        <d v="2025-05-20T00:00:00"/>
        <d v="2025-05-21T00:00:00"/>
        <d v="2025-05-22T00:00:00"/>
        <d v="2025-05-23T00:00:00"/>
        <d v="2025-05-24T00:00:00"/>
        <d v="2025-05-26T00:00:00"/>
        <d v="2025-05-27T00:00:00"/>
        <d v="2025-05-29T00:00:00"/>
        <d v="2025-05-30T00:00:00"/>
        <d v="2025-06-01T00:00:00"/>
        <d v="2025-06-02T00:00:00"/>
        <d v="2025-06-04T00:00:00"/>
        <d v="2025-06-05T00:00:00"/>
      </sharedItems>
    </cacheField>
    <cacheField name="WeekDay" numFmtId="164">
      <sharedItems count="5">
        <s v="Week 2"/>
        <s v="Week 3"/>
        <s v="Week 4"/>
        <s v="Week 5"/>
        <s v="Week 6"/>
      </sharedItems>
    </cacheField>
    <cacheField name="DAY" numFmtId="0">
      <sharedItems/>
    </cacheField>
    <cacheField name="CATOGORY" numFmtId="0">
      <sharedItems count="6">
        <s v="ATM"/>
        <s v="Groceries"/>
        <s v="Allowance"/>
        <s v="Repair"/>
        <s v="Health Care"/>
        <s v="Utilities"/>
      </sharedItems>
    </cacheField>
    <cacheField name="DESCRIPTION" numFmtId="0">
      <sharedItems/>
    </cacheField>
    <cacheField name="PAYMENT MEHOD" numFmtId="0">
      <sharedItems count="3">
        <s v="Debit Card"/>
        <s v="UPI"/>
        <s v="Bank Transfer"/>
      </sharedItems>
    </cacheField>
    <cacheField name="AMOUNT" numFmtId="165">
      <sharedItems containsSemiMixedTypes="0" containsString="0" containsNumber="1" containsInteger="1" minValue="10" maxValue="12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s v="Friday"/>
    <x v="0"/>
    <s v="Withdrawal by ATM"/>
    <x v="0"/>
    <n v="12000"/>
  </r>
  <r>
    <x v="0"/>
    <x v="0"/>
    <s v="Friday"/>
    <x v="1"/>
    <s v="Jar Water"/>
    <x v="1"/>
    <n v="10"/>
  </r>
  <r>
    <x v="1"/>
    <x v="0"/>
    <s v="Saturday"/>
    <x v="1"/>
    <s v="Jar Water"/>
    <x v="1"/>
    <n v="10"/>
  </r>
  <r>
    <x v="2"/>
    <x v="0"/>
    <s v="Sunday"/>
    <x v="2"/>
    <s v="Fund transfer to hdfc bank"/>
    <x v="1"/>
    <n v="3000"/>
  </r>
  <r>
    <x v="2"/>
    <x v="0"/>
    <s v="Sunday"/>
    <x v="1"/>
    <s v="Chicken"/>
    <x v="1"/>
    <n v="230"/>
  </r>
  <r>
    <x v="2"/>
    <x v="0"/>
    <s v="Sunday"/>
    <x v="1"/>
    <s v="Monthly groceries payment"/>
    <x v="1"/>
    <n v="4600"/>
  </r>
  <r>
    <x v="3"/>
    <x v="0"/>
    <s v="Tuesday"/>
    <x v="1"/>
    <s v="Jar Water"/>
    <x v="1"/>
    <n v="10"/>
  </r>
  <r>
    <x v="3"/>
    <x v="0"/>
    <s v="Tuesday"/>
    <x v="1"/>
    <s v="Bakery Item"/>
    <x v="1"/>
    <n v="40"/>
  </r>
  <r>
    <x v="4"/>
    <x v="0"/>
    <s v="Wednesday"/>
    <x v="2"/>
    <s v="Fund transfer to Kotak bank"/>
    <x v="1"/>
    <n v="3000"/>
  </r>
  <r>
    <x v="4"/>
    <x v="0"/>
    <s v="Wednesday"/>
    <x v="3"/>
    <s v="Spectacle Repair"/>
    <x v="1"/>
    <n v="300"/>
  </r>
  <r>
    <x v="4"/>
    <x v="0"/>
    <s v="Wednesday"/>
    <x v="4"/>
    <s v="Medicine"/>
    <x v="1"/>
    <n v="155"/>
  </r>
  <r>
    <x v="4"/>
    <x v="0"/>
    <s v="Wednesday"/>
    <x v="1"/>
    <s v="Jar Water"/>
    <x v="1"/>
    <n v="10"/>
  </r>
  <r>
    <x v="4"/>
    <x v="0"/>
    <s v="Wednesday"/>
    <x v="1"/>
    <s v="Sasaane Shop"/>
    <x v="1"/>
    <n v="50"/>
  </r>
  <r>
    <x v="5"/>
    <x v="1"/>
    <s v="Thursday"/>
    <x v="5"/>
    <s v="EMI"/>
    <x v="2"/>
    <n v="2500"/>
  </r>
  <r>
    <x v="5"/>
    <x v="1"/>
    <s v="Thursday"/>
    <x v="5"/>
    <s v="Mobile Recharge"/>
    <x v="1"/>
    <n v="23"/>
  </r>
  <r>
    <x v="6"/>
    <x v="1"/>
    <s v="Friday"/>
    <x v="4"/>
    <s v="Medicine"/>
    <x v="1"/>
    <n v="80"/>
  </r>
  <r>
    <x v="6"/>
    <x v="1"/>
    <s v="Friday"/>
    <x v="1"/>
    <s v="Jar Water"/>
    <x v="1"/>
    <n v="10"/>
  </r>
  <r>
    <x v="6"/>
    <x v="1"/>
    <s v="Friday"/>
    <x v="4"/>
    <s v="Medicine"/>
    <x v="1"/>
    <n v="20"/>
  </r>
  <r>
    <x v="7"/>
    <x v="1"/>
    <s v="Saturday"/>
    <x v="1"/>
    <s v="Jar Water"/>
    <x v="1"/>
    <n v="10"/>
  </r>
  <r>
    <x v="8"/>
    <x v="1"/>
    <s v="Monday"/>
    <x v="4"/>
    <s v="Medicine"/>
    <x v="1"/>
    <n v="40"/>
  </r>
  <r>
    <x v="8"/>
    <x v="1"/>
    <s v="Monday"/>
    <x v="1"/>
    <s v="Jar Water"/>
    <x v="1"/>
    <n v="10"/>
  </r>
  <r>
    <x v="8"/>
    <x v="1"/>
    <s v="Monday"/>
    <x v="5"/>
    <s v="Gas Refil"/>
    <x v="1"/>
    <n v="880"/>
  </r>
  <r>
    <x v="9"/>
    <x v="1"/>
    <s v="Tuesday"/>
    <x v="1"/>
    <s v="Jar Water"/>
    <x v="1"/>
    <n v="10"/>
  </r>
  <r>
    <x v="10"/>
    <x v="1"/>
    <s v="Wednesday"/>
    <x v="5"/>
    <s v="Mobile Recharge"/>
    <x v="1"/>
    <n v="299"/>
  </r>
  <r>
    <x v="10"/>
    <x v="1"/>
    <s v="Wednesday"/>
    <x v="2"/>
    <s v="Fund transfer to pnb bank"/>
    <x v="1"/>
    <n v="115"/>
  </r>
  <r>
    <x v="11"/>
    <x v="2"/>
    <s v="Thursday"/>
    <x v="1"/>
    <s v="Jar Water"/>
    <x v="1"/>
    <n v="10"/>
  </r>
  <r>
    <x v="12"/>
    <x v="2"/>
    <s v="Friday"/>
    <x v="5"/>
    <s v="Razor Pay"/>
    <x v="1"/>
    <n v="200"/>
  </r>
  <r>
    <x v="12"/>
    <x v="2"/>
    <s v="Friday"/>
    <x v="1"/>
    <s v="Shop"/>
    <x v="1"/>
    <n v="10"/>
  </r>
  <r>
    <x v="12"/>
    <x v="2"/>
    <s v="Friday"/>
    <x v="1"/>
    <s v="Jar Water"/>
    <x v="1"/>
    <n v="10"/>
  </r>
  <r>
    <x v="13"/>
    <x v="2"/>
    <s v="Saturday"/>
    <x v="4"/>
    <s v="Medicine"/>
    <x v="1"/>
    <n v="95"/>
  </r>
  <r>
    <x v="14"/>
    <x v="2"/>
    <s v="Monday"/>
    <x v="2"/>
    <s v="Transfer to Bhai"/>
    <x v="1"/>
    <n v="300"/>
  </r>
  <r>
    <x v="14"/>
    <x v="2"/>
    <s v="Monday"/>
    <x v="1"/>
    <s v="Sweet"/>
    <x v="1"/>
    <n v="70"/>
  </r>
  <r>
    <x v="14"/>
    <x v="2"/>
    <s v="Monday"/>
    <x v="4"/>
    <s v="Medicine"/>
    <x v="1"/>
    <n v="10"/>
  </r>
  <r>
    <x v="15"/>
    <x v="2"/>
    <s v="Tuesday"/>
    <x v="1"/>
    <s v="Jar Water"/>
    <x v="1"/>
    <n v="10"/>
  </r>
  <r>
    <x v="16"/>
    <x v="3"/>
    <s v="Thursday"/>
    <x v="5"/>
    <s v="Mobile Recharge"/>
    <x v="1"/>
    <n v="299"/>
  </r>
  <r>
    <x v="16"/>
    <x v="3"/>
    <s v="Thursday"/>
    <x v="5"/>
    <s v="Gas pipe"/>
    <x v="1"/>
    <n v="220"/>
  </r>
  <r>
    <x v="16"/>
    <x v="3"/>
    <s v="Thursday"/>
    <x v="1"/>
    <s v="Jar Water"/>
    <x v="1"/>
    <n v="10"/>
  </r>
  <r>
    <x v="17"/>
    <x v="3"/>
    <s v="Friday"/>
    <x v="4"/>
    <s v="Medicine"/>
    <x v="1"/>
    <n v="20"/>
  </r>
  <r>
    <x v="18"/>
    <x v="3"/>
    <s v="Sunday"/>
    <x v="1"/>
    <s v="Sasaane Shop"/>
    <x v="1"/>
    <n v="50"/>
  </r>
  <r>
    <x v="18"/>
    <x v="3"/>
    <s v="Sunday"/>
    <x v="1"/>
    <s v="Jar Water"/>
    <x v="1"/>
    <n v="10"/>
  </r>
  <r>
    <x v="19"/>
    <x v="3"/>
    <s v="Monday"/>
    <x v="1"/>
    <s v="Dairy"/>
    <x v="1"/>
    <n v="60"/>
  </r>
  <r>
    <x v="19"/>
    <x v="3"/>
    <s v="Monday"/>
    <x v="1"/>
    <s v="Jar Water"/>
    <x v="1"/>
    <n v="10"/>
  </r>
  <r>
    <x v="20"/>
    <x v="3"/>
    <s v="Wednesday"/>
    <x v="1"/>
    <s v="Jar Water"/>
    <x v="1"/>
    <n v="10"/>
  </r>
  <r>
    <x v="20"/>
    <x v="3"/>
    <s v="Wednesday"/>
    <x v="5"/>
    <s v="Taadpatri"/>
    <x v="1"/>
    <n v="300"/>
  </r>
  <r>
    <x v="20"/>
    <x v="3"/>
    <s v="Wednesday"/>
    <x v="5"/>
    <s v="Plastic Rope"/>
    <x v="1"/>
    <n v="40"/>
  </r>
  <r>
    <x v="20"/>
    <x v="3"/>
    <s v="Wednesday"/>
    <x v="5"/>
    <s v="Mobile Recharge"/>
    <x v="1"/>
    <n v="26"/>
  </r>
  <r>
    <x v="20"/>
    <x v="3"/>
    <s v="Wednesday"/>
    <x v="5"/>
    <s v="Xerox"/>
    <x v="1"/>
    <n v="10"/>
  </r>
  <r>
    <x v="20"/>
    <x v="3"/>
    <s v="Wednesday"/>
    <x v="5"/>
    <s v="Petrol/Fuel"/>
    <x v="1"/>
    <n v="111"/>
  </r>
  <r>
    <x v="20"/>
    <x v="3"/>
    <s v="Wednesday"/>
    <x v="1"/>
    <s v="Shop"/>
    <x v="1"/>
    <n v="20"/>
  </r>
  <r>
    <x v="21"/>
    <x v="4"/>
    <s v="Thursday"/>
    <x v="1"/>
    <s v="Shop"/>
    <x v="1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6:E30" firstHeaderRow="1" firstDataRow="2" firstDataCol="1"/>
  <pivotFields count="7">
    <pivotField axis="axisRow" multipleItemSelectionAllowe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 defaultSubtotal="0"/>
    <pivotField showAll="0"/>
    <pivotField showAll="0"/>
    <pivotField multipleItemSelectionAllowed="1" showAll="0"/>
    <pivotField axis="axisCol" multipleItemSelectionAllowed="1" showAll="0">
      <items count="4">
        <item x="2"/>
        <item x="0"/>
        <item x="1"/>
        <item t="default"/>
      </items>
    </pivotField>
    <pivotField dataFiel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AMOUNT" fld="6" subtotal="count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4" name="Table25" displayName="Table25" ref="C7:I59" totalsRowShown="0" headerRowDxfId="4">
  <autoFilter ref="C7:I59">
    <filterColumn colId="1"/>
  </autoFilter>
  <tableColumns count="7">
    <tableColumn id="1" name="DATE"/>
    <tableColumn id="7" name="WeekDay" dataDxfId="3">
      <calculatedColumnFormula>INDEX(week!D:D,MATCH(Table25[[#This Row],[DATE]],week!B:B,1))</calculatedColumnFormula>
    </tableColumn>
    <tableColumn id="2" name="DAY" dataDxfId="2">
      <calculatedColumnFormula>TEXT(Table25[[#This Row],[DATE]],"dddd")</calculatedColumnFormula>
    </tableColumn>
    <tableColumn id="3" name="CATOGORY"/>
    <tableColumn id="4" name="DESCRIPTION"/>
    <tableColumn id="5" name="PAYMENT MEHOD"/>
    <tableColumn id="6" name="AMOUNT" dataDxfId="1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6:E30"/>
  <sheetViews>
    <sheetView zoomScale="90" zoomScaleNormal="90" workbookViewId="0">
      <selection activeCell="A6" sqref="A6"/>
    </sheetView>
  </sheetViews>
  <sheetFormatPr defaultRowHeight="15"/>
  <cols>
    <col min="1" max="1" width="17.7109375" customWidth="1"/>
    <col min="2" max="2" width="16.28515625" customWidth="1"/>
    <col min="3" max="3" width="10.28515625" customWidth="1"/>
    <col min="4" max="4" width="4.140625" customWidth="1"/>
    <col min="5" max="10" width="11.28515625" customWidth="1"/>
    <col min="11" max="12" width="11.28515625" bestFit="1" customWidth="1"/>
    <col min="13" max="14" width="11.28515625" customWidth="1"/>
    <col min="15" max="15" width="11.28515625" bestFit="1" customWidth="1"/>
    <col min="16" max="16" width="11.28515625" customWidth="1"/>
    <col min="17" max="17" width="11.28515625" bestFit="1" customWidth="1"/>
    <col min="18" max="21" width="11.28515625" customWidth="1"/>
    <col min="22" max="22" width="11.28515625" bestFit="1" customWidth="1"/>
    <col min="23" max="24" width="11.28515625" customWidth="1"/>
    <col min="25" max="25" width="6.140625" customWidth="1"/>
    <col min="26" max="26" width="11.28515625" customWidth="1"/>
    <col min="27" max="27" width="11.28515625" bestFit="1" customWidth="1"/>
  </cols>
  <sheetData>
    <row r="6" spans="1:5">
      <c r="A6" s="5" t="s">
        <v>45</v>
      </c>
      <c r="B6" s="5" t="s">
        <v>44</v>
      </c>
    </row>
    <row r="7" spans="1:5">
      <c r="A7" s="5" t="s">
        <v>42</v>
      </c>
      <c r="B7" t="s">
        <v>40</v>
      </c>
      <c r="C7" t="s">
        <v>12</v>
      </c>
      <c r="D7" t="s">
        <v>15</v>
      </c>
      <c r="E7" t="s">
        <v>43</v>
      </c>
    </row>
    <row r="8" spans="1:5">
      <c r="A8" s="11">
        <v>45786</v>
      </c>
      <c r="B8" s="4"/>
      <c r="C8" s="4">
        <v>1</v>
      </c>
      <c r="D8" s="4">
        <v>1</v>
      </c>
      <c r="E8" s="4">
        <v>2</v>
      </c>
    </row>
    <row r="9" spans="1:5">
      <c r="A9" s="11">
        <v>45787</v>
      </c>
      <c r="B9" s="4"/>
      <c r="C9" s="4"/>
      <c r="D9" s="4">
        <v>1</v>
      </c>
      <c r="E9" s="4">
        <v>1</v>
      </c>
    </row>
    <row r="10" spans="1:5">
      <c r="A10" s="11">
        <v>45788</v>
      </c>
      <c r="B10" s="4"/>
      <c r="C10" s="4"/>
      <c r="D10" s="4">
        <v>3</v>
      </c>
      <c r="E10" s="4">
        <v>3</v>
      </c>
    </row>
    <row r="11" spans="1:5">
      <c r="A11" s="11">
        <v>45790</v>
      </c>
      <c r="B11" s="4"/>
      <c r="C11" s="4"/>
      <c r="D11" s="4">
        <v>2</v>
      </c>
      <c r="E11" s="4">
        <v>2</v>
      </c>
    </row>
    <row r="12" spans="1:5">
      <c r="A12" s="11">
        <v>45791</v>
      </c>
      <c r="B12" s="4"/>
      <c r="C12" s="4"/>
      <c r="D12" s="4">
        <v>5</v>
      </c>
      <c r="E12" s="4">
        <v>5</v>
      </c>
    </row>
    <row r="13" spans="1:5">
      <c r="A13" s="11">
        <v>45792</v>
      </c>
      <c r="B13" s="4">
        <v>1</v>
      </c>
      <c r="C13" s="4"/>
      <c r="D13" s="4">
        <v>1</v>
      </c>
      <c r="E13" s="4">
        <v>2</v>
      </c>
    </row>
    <row r="14" spans="1:5">
      <c r="A14" s="11">
        <v>45793</v>
      </c>
      <c r="B14" s="4"/>
      <c r="C14" s="4"/>
      <c r="D14" s="4">
        <v>3</v>
      </c>
      <c r="E14" s="4">
        <v>3</v>
      </c>
    </row>
    <row r="15" spans="1:5">
      <c r="A15" s="11">
        <v>45794</v>
      </c>
      <c r="B15" s="4"/>
      <c r="C15" s="4"/>
      <c r="D15" s="4">
        <v>1</v>
      </c>
      <c r="E15" s="4">
        <v>1</v>
      </c>
    </row>
    <row r="16" spans="1:5">
      <c r="A16" s="11">
        <v>45796</v>
      </c>
      <c r="B16" s="4"/>
      <c r="C16" s="4"/>
      <c r="D16" s="4">
        <v>3</v>
      </c>
      <c r="E16" s="4">
        <v>3</v>
      </c>
    </row>
    <row r="17" spans="1:5">
      <c r="A17" s="11">
        <v>45797</v>
      </c>
      <c r="B17" s="4"/>
      <c r="C17" s="4"/>
      <c r="D17" s="4">
        <v>1</v>
      </c>
      <c r="E17" s="4">
        <v>1</v>
      </c>
    </row>
    <row r="18" spans="1:5">
      <c r="A18" s="11">
        <v>45798</v>
      </c>
      <c r="B18" s="4"/>
      <c r="C18" s="4"/>
      <c r="D18" s="4">
        <v>2</v>
      </c>
      <c r="E18" s="4">
        <v>2</v>
      </c>
    </row>
    <row r="19" spans="1:5">
      <c r="A19" s="11">
        <v>45799</v>
      </c>
      <c r="B19" s="4"/>
      <c r="C19" s="4"/>
      <c r="D19" s="4">
        <v>1</v>
      </c>
      <c r="E19" s="4">
        <v>1</v>
      </c>
    </row>
    <row r="20" spans="1:5">
      <c r="A20" s="11">
        <v>45800</v>
      </c>
      <c r="B20" s="4"/>
      <c r="C20" s="4"/>
      <c r="D20" s="4">
        <v>3</v>
      </c>
      <c r="E20" s="4">
        <v>3</v>
      </c>
    </row>
    <row r="21" spans="1:5">
      <c r="A21" s="11">
        <v>45801</v>
      </c>
      <c r="B21" s="4"/>
      <c r="C21" s="4"/>
      <c r="D21" s="4">
        <v>1</v>
      </c>
      <c r="E21" s="4">
        <v>1</v>
      </c>
    </row>
    <row r="22" spans="1:5">
      <c r="A22" s="11">
        <v>45803</v>
      </c>
      <c r="B22" s="4"/>
      <c r="C22" s="4"/>
      <c r="D22" s="4">
        <v>3</v>
      </c>
      <c r="E22" s="4">
        <v>3</v>
      </c>
    </row>
    <row r="23" spans="1:5">
      <c r="A23" s="11">
        <v>45804</v>
      </c>
      <c r="B23" s="4"/>
      <c r="C23" s="4"/>
      <c r="D23" s="4">
        <v>1</v>
      </c>
      <c r="E23" s="4">
        <v>1</v>
      </c>
    </row>
    <row r="24" spans="1:5">
      <c r="A24" s="11">
        <v>45806</v>
      </c>
      <c r="B24" s="4"/>
      <c r="C24" s="4"/>
      <c r="D24" s="4">
        <v>3</v>
      </c>
      <c r="E24" s="4">
        <v>3</v>
      </c>
    </row>
    <row r="25" spans="1:5">
      <c r="A25" s="11">
        <v>45807</v>
      </c>
      <c r="B25" s="4"/>
      <c r="C25" s="4"/>
      <c r="D25" s="4">
        <v>1</v>
      </c>
      <c r="E25" s="4">
        <v>1</v>
      </c>
    </row>
    <row r="26" spans="1:5">
      <c r="A26" s="11">
        <v>45809</v>
      </c>
      <c r="B26" s="4"/>
      <c r="C26" s="4"/>
      <c r="D26" s="4">
        <v>2</v>
      </c>
      <c r="E26" s="4">
        <v>2</v>
      </c>
    </row>
    <row r="27" spans="1:5">
      <c r="A27" s="11">
        <v>45810</v>
      </c>
      <c r="B27" s="4"/>
      <c r="C27" s="4"/>
      <c r="D27" s="4">
        <v>2</v>
      </c>
      <c r="E27" s="4">
        <v>2</v>
      </c>
    </row>
    <row r="28" spans="1:5">
      <c r="A28" s="11">
        <v>45812</v>
      </c>
      <c r="B28" s="4"/>
      <c r="C28" s="4"/>
      <c r="D28" s="4">
        <v>7</v>
      </c>
      <c r="E28" s="4">
        <v>7</v>
      </c>
    </row>
    <row r="29" spans="1:5">
      <c r="A29" s="11">
        <v>45813</v>
      </c>
      <c r="B29" s="4"/>
      <c r="C29" s="4"/>
      <c r="D29" s="4">
        <v>1</v>
      </c>
      <c r="E29" s="4">
        <v>1</v>
      </c>
    </row>
    <row r="30" spans="1:5">
      <c r="A30" s="6" t="s">
        <v>43</v>
      </c>
      <c r="B30" s="4">
        <v>1</v>
      </c>
      <c r="C30" s="4">
        <v>1</v>
      </c>
      <c r="D30" s="4">
        <v>48</v>
      </c>
      <c r="E30" s="4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J11"/>
  <sheetViews>
    <sheetView workbookViewId="0">
      <selection activeCell="F6" sqref="F6"/>
    </sheetView>
  </sheetViews>
  <sheetFormatPr defaultRowHeight="15"/>
  <cols>
    <col min="1" max="1" width="16.140625" customWidth="1"/>
    <col min="2" max="2" width="16.28515625" customWidth="1"/>
    <col min="3" max="6" width="7.7109375" customWidth="1"/>
    <col min="7" max="7" width="11.28515625" customWidth="1"/>
    <col min="8" max="8" width="11.28515625" bestFit="1" customWidth="1"/>
  </cols>
  <sheetData>
    <row r="3" spans="1:10">
      <c r="A3" s="5" t="s">
        <v>78</v>
      </c>
      <c r="B3" s="5" t="s">
        <v>44</v>
      </c>
    </row>
    <row r="4" spans="1:10">
      <c r="A4" s="5" t="s">
        <v>42</v>
      </c>
      <c r="B4" t="s">
        <v>69</v>
      </c>
      <c r="C4" t="s">
        <v>70</v>
      </c>
      <c r="D4" t="s">
        <v>71</v>
      </c>
      <c r="E4" t="s">
        <v>72</v>
      </c>
      <c r="F4" t="s">
        <v>73</v>
      </c>
      <c r="G4" t="s">
        <v>43</v>
      </c>
      <c r="J4">
        <f>SUMIFS('Source Data'!I8:I57,'Source Data'!D8:D57,Pivot!J6,'Source Data'!F8:F57,Pivot!J7)</f>
        <v>12000</v>
      </c>
    </row>
    <row r="5" spans="1:10">
      <c r="A5" s="6" t="s">
        <v>16</v>
      </c>
      <c r="B5" s="4">
        <v>6000</v>
      </c>
      <c r="C5" s="4">
        <v>115</v>
      </c>
      <c r="D5" s="4">
        <v>300</v>
      </c>
      <c r="E5" s="4"/>
      <c r="F5" s="4"/>
      <c r="G5" s="4">
        <v>6415</v>
      </c>
    </row>
    <row r="6" spans="1:10">
      <c r="A6" s="6" t="s">
        <v>10</v>
      </c>
      <c r="B6" s="4">
        <v>12000</v>
      </c>
      <c r="C6" s="4"/>
      <c r="D6" s="4"/>
      <c r="E6" s="4"/>
      <c r="F6" s="4"/>
      <c r="G6" s="4">
        <v>12000</v>
      </c>
      <c r="J6" t="s">
        <v>69</v>
      </c>
    </row>
    <row r="7" spans="1:10">
      <c r="A7" s="6" t="s">
        <v>13</v>
      </c>
      <c r="B7" s="4">
        <v>4960</v>
      </c>
      <c r="C7" s="4">
        <v>40</v>
      </c>
      <c r="D7" s="4">
        <v>110</v>
      </c>
      <c r="E7" s="4">
        <v>170</v>
      </c>
      <c r="F7" s="4">
        <v>30</v>
      </c>
      <c r="G7" s="4">
        <v>5310</v>
      </c>
      <c r="J7" t="s">
        <v>10</v>
      </c>
    </row>
    <row r="8" spans="1:10">
      <c r="A8" s="6" t="s">
        <v>25</v>
      </c>
      <c r="B8" s="4">
        <v>155</v>
      </c>
      <c r="C8" s="4">
        <v>140</v>
      </c>
      <c r="D8" s="4">
        <v>105</v>
      </c>
      <c r="E8" s="4">
        <v>20</v>
      </c>
      <c r="F8" s="4"/>
      <c r="G8" s="4">
        <v>420</v>
      </c>
    </row>
    <row r="9" spans="1:10">
      <c r="A9" s="6" t="s">
        <v>23</v>
      </c>
      <c r="B9" s="4">
        <v>300</v>
      </c>
      <c r="C9" s="4"/>
      <c r="D9" s="4"/>
      <c r="E9" s="4"/>
      <c r="F9" s="4"/>
      <c r="G9" s="4">
        <v>300</v>
      </c>
    </row>
    <row r="10" spans="1:10">
      <c r="A10" s="6" t="s">
        <v>28</v>
      </c>
      <c r="B10" s="4"/>
      <c r="C10" s="4">
        <v>3702</v>
      </c>
      <c r="D10" s="4">
        <v>200</v>
      </c>
      <c r="E10" s="4">
        <v>1006</v>
      </c>
      <c r="F10" s="4"/>
      <c r="G10" s="4">
        <v>4908</v>
      </c>
    </row>
    <row r="11" spans="1:10">
      <c r="A11" s="6" t="s">
        <v>43</v>
      </c>
      <c r="B11" s="4">
        <v>23415</v>
      </c>
      <c r="C11" s="4">
        <v>3997</v>
      </c>
      <c r="D11" s="4">
        <v>715</v>
      </c>
      <c r="E11" s="4">
        <v>1196</v>
      </c>
      <c r="F11" s="4">
        <v>30</v>
      </c>
      <c r="G11" s="4">
        <v>29353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1:O59"/>
  <sheetViews>
    <sheetView zoomScaleNormal="100" workbookViewId="0">
      <selection activeCell="D8" sqref="D8"/>
    </sheetView>
  </sheetViews>
  <sheetFormatPr defaultRowHeight="15"/>
  <cols>
    <col min="1" max="1" width="4.140625" customWidth="1"/>
    <col min="2" max="2" width="3" customWidth="1"/>
    <col min="3" max="3" width="12" bestFit="1" customWidth="1"/>
    <col min="4" max="4" width="12" customWidth="1"/>
    <col min="5" max="5" width="11.42578125" bestFit="1" customWidth="1"/>
    <col min="6" max="6" width="15.5703125" bestFit="1" customWidth="1"/>
    <col min="7" max="7" width="25.85546875" customWidth="1"/>
    <col min="8" max="8" width="22" bestFit="1" customWidth="1"/>
    <col min="9" max="9" width="14" bestFit="1" customWidth="1"/>
    <col min="10" max="10" width="14" customWidth="1"/>
    <col min="11" max="11" width="18.5703125" bestFit="1" customWidth="1"/>
    <col min="12" max="12" width="19.5703125" bestFit="1" customWidth="1"/>
    <col min="13" max="13" width="15.85546875" bestFit="1" customWidth="1"/>
    <col min="14" max="14" width="25.85546875" bestFit="1" customWidth="1"/>
    <col min="15" max="15" width="19.7109375" customWidth="1"/>
    <col min="16" max="16" width="11.7109375" customWidth="1"/>
    <col min="18" max="18" width="12" bestFit="1" customWidth="1"/>
    <col min="20" max="20" width="12.7109375" bestFit="1" customWidth="1"/>
  </cols>
  <sheetData>
    <row r="1" spans="3:15">
      <c r="O1" s="27" t="s">
        <v>11</v>
      </c>
    </row>
    <row r="2" spans="3:15">
      <c r="O2" s="28" t="s">
        <v>14</v>
      </c>
    </row>
    <row r="3" spans="3:15">
      <c r="O3" s="28" t="s">
        <v>17</v>
      </c>
    </row>
    <row r="4" spans="3:15">
      <c r="O4" s="29" t="s">
        <v>19</v>
      </c>
    </row>
    <row r="5" spans="3:15" ht="15" customHeight="1">
      <c r="C5" s="47" t="s">
        <v>41</v>
      </c>
      <c r="D5" s="48"/>
      <c r="E5" s="48"/>
      <c r="F5" s="48"/>
      <c r="G5" s="48"/>
      <c r="H5" s="48"/>
      <c r="I5" s="49"/>
      <c r="O5" s="28" t="s">
        <v>20</v>
      </c>
    </row>
    <row r="6" spans="3:15">
      <c r="C6" s="50"/>
      <c r="D6" s="51"/>
      <c r="E6" s="51"/>
      <c r="F6" s="51"/>
      <c r="G6" s="51"/>
      <c r="H6" s="51"/>
      <c r="I6" s="52"/>
      <c r="L6" s="15" t="s">
        <v>51</v>
      </c>
      <c r="O6" s="28" t="s">
        <v>21</v>
      </c>
    </row>
    <row r="7" spans="3:15" ht="28.5" customHeight="1">
      <c r="C7" s="10" t="s">
        <v>0</v>
      </c>
      <c r="D7" s="10" t="s">
        <v>79</v>
      </c>
      <c r="E7" s="10" t="s">
        <v>18</v>
      </c>
      <c r="F7" s="10" t="s">
        <v>8</v>
      </c>
      <c r="G7" s="10" t="s">
        <v>5</v>
      </c>
      <c r="H7" s="10" t="s">
        <v>9</v>
      </c>
      <c r="I7" s="10" t="s">
        <v>4</v>
      </c>
      <c r="L7" s="20" t="s">
        <v>47</v>
      </c>
      <c r="M7" s="17">
        <f>SUM(I8:I57)</f>
        <v>29353</v>
      </c>
      <c r="O7" s="29" t="s">
        <v>22</v>
      </c>
    </row>
    <row r="8" spans="3:15">
      <c r="C8" s="3">
        <v>45786</v>
      </c>
      <c r="D8" s="3" t="str">
        <f>INDEX(week!D:D,MATCH(Table25[[#This Row],[DATE]],week!B:B,1))</f>
        <v>Week 2</v>
      </c>
      <c r="E8" s="2" t="str">
        <f>TEXT(Table25[[#This Row],[DATE]],"dddd")</f>
        <v>Friday</v>
      </c>
      <c r="F8" s="2" t="s">
        <v>10</v>
      </c>
      <c r="G8" t="s">
        <v>11</v>
      </c>
      <c r="H8" s="2" t="s">
        <v>12</v>
      </c>
      <c r="I8" s="7">
        <v>12000</v>
      </c>
      <c r="J8" s="7"/>
      <c r="L8" s="21" t="s">
        <v>46</v>
      </c>
      <c r="M8" s="17">
        <f>AVERAGE(I8:I57)</f>
        <v>587.05999999999995</v>
      </c>
      <c r="O8" s="28" t="s">
        <v>24</v>
      </c>
    </row>
    <row r="9" spans="3:15">
      <c r="C9" s="3">
        <v>45786</v>
      </c>
      <c r="D9" s="3" t="str">
        <f>INDEX(week!D:D,MATCH(Table25[[#This Row],[DATE]],week!B:B,1))</f>
        <v>Week 2</v>
      </c>
      <c r="E9" s="2" t="str">
        <f>TEXT(Table25[[#This Row],[DATE]],"dddd")</f>
        <v>Friday</v>
      </c>
      <c r="F9" s="2" t="s">
        <v>13</v>
      </c>
      <c r="G9" t="s">
        <v>14</v>
      </c>
      <c r="H9" s="2" t="s">
        <v>15</v>
      </c>
      <c r="I9" s="7">
        <v>10</v>
      </c>
      <c r="J9" s="7"/>
      <c r="L9" s="20" t="s">
        <v>48</v>
      </c>
      <c r="M9" s="19">
        <f>COUNTA(C8:C57)</f>
        <v>50</v>
      </c>
      <c r="O9" s="29" t="s">
        <v>26</v>
      </c>
    </row>
    <row r="10" spans="3:15">
      <c r="C10" s="3">
        <v>45787</v>
      </c>
      <c r="D10" s="3" t="str">
        <f>INDEX(week!D:D,MATCH(Table25[[#This Row],[DATE]],week!B:B,1))</f>
        <v>Week 2</v>
      </c>
      <c r="E10" s="2" t="str">
        <f>TEXT(Table25[[#This Row],[DATE]],"dddd")</f>
        <v>Saturday</v>
      </c>
      <c r="F10" s="2" t="s">
        <v>13</v>
      </c>
      <c r="G10" t="s">
        <v>14</v>
      </c>
      <c r="H10" s="2" t="s">
        <v>15</v>
      </c>
      <c r="I10" s="7">
        <v>10</v>
      </c>
      <c r="J10" s="7"/>
      <c r="L10" s="20" t="s">
        <v>49</v>
      </c>
      <c r="M10" s="17">
        <f>MIN(I8:I57)</f>
        <v>10</v>
      </c>
      <c r="O10" s="29" t="s">
        <v>27</v>
      </c>
    </row>
    <row r="11" spans="3:15">
      <c r="C11" s="3">
        <v>45788</v>
      </c>
      <c r="D11" s="3" t="str">
        <f>INDEX(week!D:D,MATCH(Table25[[#This Row],[DATE]],week!B:B,1))</f>
        <v>Week 2</v>
      </c>
      <c r="E11" s="2" t="str">
        <f>TEXT(Table25[[#This Row],[DATE]],"dddd")</f>
        <v>Sunday</v>
      </c>
      <c r="F11" s="2" t="s">
        <v>16</v>
      </c>
      <c r="G11" t="s">
        <v>17</v>
      </c>
      <c r="H11" s="2" t="s">
        <v>15</v>
      </c>
      <c r="I11" s="7">
        <v>3000</v>
      </c>
      <c r="J11" s="7"/>
      <c r="L11" s="20" t="s">
        <v>50</v>
      </c>
      <c r="M11" s="17">
        <f>MAX(I8:I57)</f>
        <v>12000</v>
      </c>
      <c r="O11" s="28" t="s">
        <v>39</v>
      </c>
    </row>
    <row r="12" spans="3:15">
      <c r="C12" s="3">
        <v>45788</v>
      </c>
      <c r="D12" s="3" t="str">
        <f>INDEX(week!D:D,MATCH(Table25[[#This Row],[DATE]],week!B:B,1))</f>
        <v>Week 2</v>
      </c>
      <c r="E12" s="2" t="str">
        <f>TEXT(Table25[[#This Row],[DATE]],"dddd")</f>
        <v>Sunday</v>
      </c>
      <c r="F12" s="2" t="s">
        <v>13</v>
      </c>
      <c r="G12" t="s">
        <v>19</v>
      </c>
      <c r="H12" s="2" t="s">
        <v>15</v>
      </c>
      <c r="I12" s="7">
        <v>230</v>
      </c>
      <c r="J12" s="7"/>
      <c r="O12" s="29" t="s">
        <v>29</v>
      </c>
    </row>
    <row r="13" spans="3:15">
      <c r="C13" s="3">
        <v>45788</v>
      </c>
      <c r="D13" s="3" t="str">
        <f>INDEX(week!D:D,MATCH(Table25[[#This Row],[DATE]],week!B:B,1))</f>
        <v>Week 2</v>
      </c>
      <c r="E13" s="2" t="str">
        <f>TEXT(Table25[[#This Row],[DATE]],"dddd")</f>
        <v>Sunday</v>
      </c>
      <c r="F13" s="2" t="s">
        <v>13</v>
      </c>
      <c r="G13" t="s">
        <v>20</v>
      </c>
      <c r="H13" s="2" t="s">
        <v>15</v>
      </c>
      <c r="I13" s="7">
        <v>4600</v>
      </c>
      <c r="J13" s="7"/>
      <c r="L13" s="15" t="s">
        <v>52</v>
      </c>
      <c r="O13" s="28" t="s">
        <v>30</v>
      </c>
    </row>
    <row r="14" spans="3:15">
      <c r="C14" s="3">
        <v>45790</v>
      </c>
      <c r="D14" s="3" t="str">
        <f>INDEX(week!D:D,MATCH(Table25[[#This Row],[DATE]],week!B:B,1))</f>
        <v>Week 2</v>
      </c>
      <c r="E14" s="2" t="str">
        <f>TEXT(Table25[[#This Row],[DATE]],"dddd")</f>
        <v>Tuesday</v>
      </c>
      <c r="F14" s="2" t="s">
        <v>13</v>
      </c>
      <c r="G14" t="s">
        <v>14</v>
      </c>
      <c r="H14" s="2" t="s">
        <v>15</v>
      </c>
      <c r="I14" s="7">
        <v>10</v>
      </c>
      <c r="J14" s="7"/>
      <c r="L14" s="15" t="s">
        <v>53</v>
      </c>
      <c r="O14" s="29" t="s">
        <v>31</v>
      </c>
    </row>
    <row r="15" spans="3:15">
      <c r="C15" s="3">
        <v>45790</v>
      </c>
      <c r="D15" s="3" t="str">
        <f>INDEX(week!D:D,MATCH(Table25[[#This Row],[DATE]],week!B:B,1))</f>
        <v>Week 2</v>
      </c>
      <c r="E15" s="2" t="str">
        <f>TEXT(Table25[[#This Row],[DATE]],"dddd")</f>
        <v>Tuesday</v>
      </c>
      <c r="F15" s="2" t="s">
        <v>13</v>
      </c>
      <c r="G15" t="s">
        <v>21</v>
      </c>
      <c r="H15" s="2" t="s">
        <v>15</v>
      </c>
      <c r="I15" s="7">
        <v>40</v>
      </c>
      <c r="J15" s="7"/>
      <c r="L15" s="15" t="s">
        <v>54</v>
      </c>
      <c r="O15" s="29" t="s">
        <v>32</v>
      </c>
    </row>
    <row r="16" spans="3:15">
      <c r="C16" s="3">
        <v>45791</v>
      </c>
      <c r="D16" s="3" t="str">
        <f>INDEX(week!D:D,MATCH(Table25[[#This Row],[DATE]],week!B:B,1))</f>
        <v>Week 2</v>
      </c>
      <c r="E16" s="2" t="str">
        <f>TEXT(Table25[[#This Row],[DATE]],"dddd")</f>
        <v>Wednesday</v>
      </c>
      <c r="F16" s="2" t="s">
        <v>16</v>
      </c>
      <c r="G16" t="s">
        <v>22</v>
      </c>
      <c r="H16" s="2" t="s">
        <v>15</v>
      </c>
      <c r="I16" s="7">
        <v>3000</v>
      </c>
      <c r="J16" s="7"/>
      <c r="L16" s="20"/>
      <c r="O16" s="28" t="s">
        <v>33</v>
      </c>
    </row>
    <row r="17" spans="3:15">
      <c r="C17" s="3">
        <v>45791</v>
      </c>
      <c r="D17" s="3" t="str">
        <f>INDEX(week!D:D,MATCH(Table25[[#This Row],[DATE]],week!B:B,1))</f>
        <v>Week 2</v>
      </c>
      <c r="E17" s="2" t="str">
        <f>TEXT(Table25[[#This Row],[DATE]],"dddd")</f>
        <v>Wednesday</v>
      </c>
      <c r="F17" s="2" t="s">
        <v>23</v>
      </c>
      <c r="G17" t="s">
        <v>24</v>
      </c>
      <c r="H17" s="2" t="s">
        <v>15</v>
      </c>
      <c r="I17" s="7">
        <v>300</v>
      </c>
      <c r="J17" s="7"/>
      <c r="K17" s="31" t="s">
        <v>14</v>
      </c>
      <c r="L17" s="20" t="s">
        <v>55</v>
      </c>
      <c r="M17" s="16">
        <f>INDEX(I8:I57,MATCH(K17,G8:G57,0))</f>
        <v>10</v>
      </c>
      <c r="O17" s="29" t="s">
        <v>34</v>
      </c>
    </row>
    <row r="18" spans="3:15">
      <c r="C18" s="3">
        <v>45791</v>
      </c>
      <c r="D18" s="3" t="str">
        <f>INDEX(week!D:D,MATCH(Table25[[#This Row],[DATE]],week!B:B,1))</f>
        <v>Week 2</v>
      </c>
      <c r="E18" s="2" t="str">
        <f>TEXT(Table25[[#This Row],[DATE]],"dddd")</f>
        <v>Wednesday</v>
      </c>
      <c r="F18" s="2" t="s">
        <v>25</v>
      </c>
      <c r="G18" t="s">
        <v>26</v>
      </c>
      <c r="H18" s="2" t="s">
        <v>15</v>
      </c>
      <c r="I18" s="7">
        <v>155</v>
      </c>
      <c r="J18" s="7"/>
      <c r="L18" s="20"/>
      <c r="O18" s="28" t="s">
        <v>35</v>
      </c>
    </row>
    <row r="19" spans="3:15">
      <c r="C19" s="3">
        <v>45791</v>
      </c>
      <c r="D19" s="3" t="str">
        <f>INDEX(week!D:D,MATCH(Table25[[#This Row],[DATE]],week!B:B,1))</f>
        <v>Week 2</v>
      </c>
      <c r="E19" s="2" t="str">
        <f>TEXT(Table25[[#This Row],[DATE]],"dddd")</f>
        <v>Wednesday</v>
      </c>
      <c r="F19" s="2" t="s">
        <v>13</v>
      </c>
      <c r="G19" t="s">
        <v>14</v>
      </c>
      <c r="H19" s="2" t="s">
        <v>15</v>
      </c>
      <c r="I19" s="7">
        <v>10</v>
      </c>
      <c r="J19" s="7"/>
      <c r="L19" s="20" t="s">
        <v>56</v>
      </c>
      <c r="M19" s="14" t="str">
        <f>INDEX(F8:F57,MATCH(DATE(2025,5,11),C8:C57,0))</f>
        <v>Allowance</v>
      </c>
      <c r="O19" s="28" t="s">
        <v>1</v>
      </c>
    </row>
    <row r="20" spans="3:15">
      <c r="C20" s="3">
        <v>45791</v>
      </c>
      <c r="D20" s="3" t="str">
        <f>INDEX(week!D:D,MATCH(Table25[[#This Row],[DATE]],week!B:B,1))</f>
        <v>Week 2</v>
      </c>
      <c r="E20" s="2" t="str">
        <f>TEXT(Table25[[#This Row],[DATE]],"dddd")</f>
        <v>Wednesday</v>
      </c>
      <c r="F20" s="2" t="s">
        <v>13</v>
      </c>
      <c r="G20" t="s">
        <v>27</v>
      </c>
      <c r="H20" s="2" t="s">
        <v>15</v>
      </c>
      <c r="I20" s="7">
        <v>50</v>
      </c>
      <c r="J20" s="7"/>
      <c r="L20" s="20" t="s">
        <v>57</v>
      </c>
      <c r="O20" s="29" t="s">
        <v>2</v>
      </c>
    </row>
    <row r="21" spans="3:15">
      <c r="C21" s="3">
        <v>45792</v>
      </c>
      <c r="D21" s="3" t="str">
        <f>INDEX(week!D:D,MATCH(Table25[[#This Row],[DATE]],week!B:B,1))</f>
        <v>Week 3</v>
      </c>
      <c r="E21" s="2" t="str">
        <f>TEXT(Table25[[#This Row],[DATE]],"dddd")</f>
        <v>Thursday</v>
      </c>
      <c r="F21" s="2" t="s">
        <v>28</v>
      </c>
      <c r="G21" t="s">
        <v>39</v>
      </c>
      <c r="H21" s="2" t="s">
        <v>40</v>
      </c>
      <c r="I21" s="7">
        <v>2500</v>
      </c>
      <c r="J21" s="7"/>
      <c r="L21" s="20"/>
      <c r="O21" s="28" t="s">
        <v>3</v>
      </c>
    </row>
    <row r="22" spans="3:15">
      <c r="C22" s="3">
        <v>45792</v>
      </c>
      <c r="D22" s="3" t="str">
        <f>INDEX(week!D:D,MATCH(Table25[[#This Row],[DATE]],week!B:B,1))</f>
        <v>Week 3</v>
      </c>
      <c r="E22" s="2" t="str">
        <f>TEXT(Table25[[#This Row],[DATE]],"dddd")</f>
        <v>Thursday</v>
      </c>
      <c r="F22" s="2" t="s">
        <v>28</v>
      </c>
      <c r="G22" t="s">
        <v>29</v>
      </c>
      <c r="H22" s="2" t="s">
        <v>15</v>
      </c>
      <c r="I22" s="7">
        <v>23</v>
      </c>
      <c r="J22" s="7"/>
      <c r="K22" s="32" t="s">
        <v>35</v>
      </c>
      <c r="L22" s="23" t="s">
        <v>67</v>
      </c>
      <c r="M22" s="22">
        <f>SUMIFS(I8:I57,G8:G57,K22)</f>
        <v>70</v>
      </c>
      <c r="O22" s="29" t="s">
        <v>36</v>
      </c>
    </row>
    <row r="23" spans="3:15">
      <c r="C23" s="3">
        <v>45793</v>
      </c>
      <c r="D23" s="3" t="str">
        <f>INDEX(week!D:D,MATCH(Table25[[#This Row],[DATE]],week!B:B,1))</f>
        <v>Week 3</v>
      </c>
      <c r="E23" s="2" t="str">
        <f>TEXT(Table25[[#This Row],[DATE]],"dddd")</f>
        <v>Friday</v>
      </c>
      <c r="F23" s="2" t="s">
        <v>25</v>
      </c>
      <c r="G23" t="s">
        <v>26</v>
      </c>
      <c r="H23" s="2" t="s">
        <v>15</v>
      </c>
      <c r="I23" s="7">
        <v>80</v>
      </c>
      <c r="J23" s="7"/>
      <c r="K23" s="32" t="s">
        <v>12</v>
      </c>
      <c r="L23" s="20" t="s">
        <v>66</v>
      </c>
      <c r="M23" s="30">
        <f>COUNTIFS(H8:H57,K23)</f>
        <v>1</v>
      </c>
      <c r="O23" s="29" t="s">
        <v>37</v>
      </c>
    </row>
    <row r="24" spans="3:15">
      <c r="C24" s="3">
        <v>45793</v>
      </c>
      <c r="D24" s="3" t="str">
        <f>INDEX(week!D:D,MATCH(Table25[[#This Row],[DATE]],week!B:B,1))</f>
        <v>Week 3</v>
      </c>
      <c r="E24" s="2" t="str">
        <f>TEXT(Table25[[#This Row],[DATE]],"dddd")</f>
        <v>Friday</v>
      </c>
      <c r="F24" s="2" t="s">
        <v>13</v>
      </c>
      <c r="G24" t="s">
        <v>14</v>
      </c>
      <c r="H24" s="2" t="s">
        <v>15</v>
      </c>
      <c r="I24" s="7">
        <v>10</v>
      </c>
      <c r="J24" s="7"/>
      <c r="L24" s="23" t="s">
        <v>58</v>
      </c>
      <c r="M24" s="12"/>
      <c r="O24" s="28" t="s">
        <v>38</v>
      </c>
    </row>
    <row r="25" spans="3:15">
      <c r="C25" s="3">
        <v>45793</v>
      </c>
      <c r="D25" s="3" t="str">
        <f>INDEX(week!D:D,MATCH(Table25[[#This Row],[DATE]],week!B:B,1))</f>
        <v>Week 3</v>
      </c>
      <c r="E25" s="2" t="str">
        <f>TEXT(Table25[[#This Row],[DATE]],"dddd")</f>
        <v>Friday</v>
      </c>
      <c r="F25" s="2" t="s">
        <v>25</v>
      </c>
      <c r="G25" t="s">
        <v>26</v>
      </c>
      <c r="H25" s="2" t="s">
        <v>15</v>
      </c>
      <c r="I25" s="7">
        <v>20</v>
      </c>
      <c r="J25" s="7"/>
      <c r="L25" s="23" t="s">
        <v>59</v>
      </c>
      <c r="M25" s="22">
        <f>AVERAGEIFS(I8:I57,F8:F57,"Health Care",G8:G57,"Medicine")</f>
        <v>60</v>
      </c>
    </row>
    <row r="26" spans="3:15">
      <c r="C26" s="3">
        <v>45794</v>
      </c>
      <c r="D26" s="3" t="str">
        <f>INDEX(week!D:D,MATCH(Table25[[#This Row],[DATE]],week!B:B,1))</f>
        <v>Week 3</v>
      </c>
      <c r="E26" s="2" t="str">
        <f>TEXT(Table25[[#This Row],[DATE]],"dddd")</f>
        <v>Saturday</v>
      </c>
      <c r="F26" s="2" t="s">
        <v>13</v>
      </c>
      <c r="G26" t="s">
        <v>14</v>
      </c>
      <c r="H26" s="2" t="s">
        <v>15</v>
      </c>
      <c r="I26" s="7">
        <v>10</v>
      </c>
      <c r="J26" s="7"/>
      <c r="L26" s="24" t="s">
        <v>60</v>
      </c>
      <c r="M26" s="18" t="str">
        <f>IFERROR(INDEX(I8:I57,MATCH("Cake",G8:G57,0)),"Item Not Existed")</f>
        <v>Item Not Existed</v>
      </c>
    </row>
    <row r="27" spans="3:15">
      <c r="C27" s="3">
        <v>45796</v>
      </c>
      <c r="D27" s="3" t="str">
        <f>INDEX(week!D:D,MATCH(Table25[[#This Row],[DATE]],week!B:B,1))</f>
        <v>Week 3</v>
      </c>
      <c r="E27" s="2" t="str">
        <f>TEXT(Table25[[#This Row],[DATE]],"dddd")</f>
        <v>Monday</v>
      </c>
      <c r="F27" s="2" t="s">
        <v>25</v>
      </c>
      <c r="G27" t="s">
        <v>26</v>
      </c>
      <c r="H27" s="2" t="s">
        <v>15</v>
      </c>
      <c r="I27" s="7">
        <v>40</v>
      </c>
      <c r="J27" s="7"/>
    </row>
    <row r="28" spans="3:15">
      <c r="C28" s="3">
        <v>45796</v>
      </c>
      <c r="D28" s="3" t="str">
        <f>INDEX(week!D:D,MATCH(Table25[[#This Row],[DATE]],week!B:B,1))</f>
        <v>Week 3</v>
      </c>
      <c r="E28" s="2" t="str">
        <f>TEXT(Table25[[#This Row],[DATE]],"dddd")</f>
        <v>Monday</v>
      </c>
      <c r="F28" s="2" t="s">
        <v>13</v>
      </c>
      <c r="G28" t="s">
        <v>14</v>
      </c>
      <c r="H28" s="2" t="s">
        <v>15</v>
      </c>
      <c r="I28" s="7">
        <v>10</v>
      </c>
      <c r="J28" s="7"/>
    </row>
    <row r="29" spans="3:15">
      <c r="C29" s="3">
        <v>45796</v>
      </c>
      <c r="D29" s="3" t="str">
        <f>INDEX(week!D:D,MATCH(Table25[[#This Row],[DATE]],week!B:B,1))</f>
        <v>Week 3</v>
      </c>
      <c r="E29" s="2" t="str">
        <f>TEXT(Table25[[#This Row],[DATE]],"dddd")</f>
        <v>Monday</v>
      </c>
      <c r="F29" s="2" t="s">
        <v>28</v>
      </c>
      <c r="G29" t="s">
        <v>30</v>
      </c>
      <c r="H29" s="2" t="s">
        <v>15</v>
      </c>
      <c r="I29" s="7">
        <v>880</v>
      </c>
      <c r="J29" s="7"/>
    </row>
    <row r="30" spans="3:15">
      <c r="C30" s="3">
        <v>45797</v>
      </c>
      <c r="D30" s="3" t="str">
        <f>INDEX(week!D:D,MATCH(Table25[[#This Row],[DATE]],week!B:B,1))</f>
        <v>Week 3</v>
      </c>
      <c r="E30" s="2" t="str">
        <f>TEXT(Table25[[#This Row],[DATE]],"dddd")</f>
        <v>Tuesday</v>
      </c>
      <c r="F30" s="2" t="s">
        <v>13</v>
      </c>
      <c r="G30" t="s">
        <v>14</v>
      </c>
      <c r="H30" s="2" t="s">
        <v>15</v>
      </c>
      <c r="I30" s="7">
        <v>10</v>
      </c>
      <c r="J30" s="7"/>
      <c r="L30" s="13"/>
    </row>
    <row r="31" spans="3:15">
      <c r="C31" s="3">
        <v>45798</v>
      </c>
      <c r="D31" s="3" t="str">
        <f>INDEX(week!D:D,MATCH(Table25[[#This Row],[DATE]],week!B:B,1))</f>
        <v>Week 3</v>
      </c>
      <c r="E31" s="2" t="str">
        <f>TEXT(Table25[[#This Row],[DATE]],"dddd")</f>
        <v>Wednesday</v>
      </c>
      <c r="F31" s="2" t="s">
        <v>28</v>
      </c>
      <c r="G31" t="s">
        <v>29</v>
      </c>
      <c r="H31" s="2" t="s">
        <v>15</v>
      </c>
      <c r="I31" s="7">
        <v>299</v>
      </c>
      <c r="J31" s="7"/>
      <c r="N31" s="26" t="s">
        <v>10</v>
      </c>
      <c r="O31" s="26" t="s">
        <v>15</v>
      </c>
    </row>
    <row r="32" spans="3:15">
      <c r="C32" s="3">
        <v>45798</v>
      </c>
      <c r="D32" s="3" t="str">
        <f>INDEX(week!D:D,MATCH(Table25[[#This Row],[DATE]],week!B:B,1))</f>
        <v>Week 3</v>
      </c>
      <c r="E32" s="2" t="str">
        <f>TEXT(Table25[[#This Row],[DATE]],"dddd")</f>
        <v>Wednesday</v>
      </c>
      <c r="F32" s="2" t="s">
        <v>16</v>
      </c>
      <c r="G32" t="s">
        <v>31</v>
      </c>
      <c r="H32" s="2" t="s">
        <v>15</v>
      </c>
      <c r="I32" s="7">
        <v>115</v>
      </c>
      <c r="J32" s="7"/>
      <c r="N32" s="26" t="s">
        <v>13</v>
      </c>
      <c r="O32" s="26" t="s">
        <v>12</v>
      </c>
    </row>
    <row r="33" spans="3:15">
      <c r="C33" s="3">
        <v>45799</v>
      </c>
      <c r="D33" s="3" t="str">
        <f>INDEX(week!D:D,MATCH(Table25[[#This Row],[DATE]],week!B:B,1))</f>
        <v>Week 4</v>
      </c>
      <c r="E33" s="2" t="str">
        <f>TEXT(Table25[[#This Row],[DATE]],"dddd")</f>
        <v>Thursday</v>
      </c>
      <c r="F33" s="2" t="s">
        <v>13</v>
      </c>
      <c r="G33" t="s">
        <v>14</v>
      </c>
      <c r="H33" s="2" t="s">
        <v>15</v>
      </c>
      <c r="I33" s="7">
        <v>10</v>
      </c>
      <c r="J33" s="7"/>
      <c r="N33" s="26" t="s">
        <v>16</v>
      </c>
      <c r="O33" s="26" t="s">
        <v>40</v>
      </c>
    </row>
    <row r="34" spans="3:15">
      <c r="C34" s="3">
        <v>45800</v>
      </c>
      <c r="D34" s="3" t="str">
        <f>INDEX(week!D:D,MATCH(Table25[[#This Row],[DATE]],week!B:B,1))</f>
        <v>Week 4</v>
      </c>
      <c r="E34" s="2" t="str">
        <f>TEXT(Table25[[#This Row],[DATE]],"dddd")</f>
        <v>Friday</v>
      </c>
      <c r="F34" s="2" t="s">
        <v>28</v>
      </c>
      <c r="G34" t="s">
        <v>32</v>
      </c>
      <c r="H34" s="2" t="s">
        <v>15</v>
      </c>
      <c r="I34" s="7">
        <v>200</v>
      </c>
      <c r="J34" s="7"/>
      <c r="N34" s="26" t="s">
        <v>23</v>
      </c>
      <c r="O34" s="26" t="s">
        <v>65</v>
      </c>
    </row>
    <row r="35" spans="3:15">
      <c r="C35" s="3">
        <v>45800</v>
      </c>
      <c r="D35" s="3" t="str">
        <f>INDEX(week!D:D,MATCH(Table25[[#This Row],[DATE]],week!B:B,1))</f>
        <v>Week 4</v>
      </c>
      <c r="E35" s="2" t="str">
        <f>TEXT(Table25[[#This Row],[DATE]],"dddd")</f>
        <v>Friday</v>
      </c>
      <c r="F35" s="2" t="s">
        <v>13</v>
      </c>
      <c r="G35" t="s">
        <v>33</v>
      </c>
      <c r="H35" s="2" t="s">
        <v>15</v>
      </c>
      <c r="I35" s="7">
        <v>10</v>
      </c>
      <c r="J35" s="7"/>
      <c r="N35" s="26" t="s">
        <v>25</v>
      </c>
    </row>
    <row r="36" spans="3:15">
      <c r="C36" s="3">
        <v>45800</v>
      </c>
      <c r="D36" s="3" t="str">
        <f>INDEX(week!D:D,MATCH(Table25[[#This Row],[DATE]],week!B:B,1))</f>
        <v>Week 4</v>
      </c>
      <c r="E36" s="2" t="str">
        <f>TEXT(Table25[[#This Row],[DATE]],"dddd")</f>
        <v>Friday</v>
      </c>
      <c r="F36" s="2" t="s">
        <v>13</v>
      </c>
      <c r="G36" t="s">
        <v>14</v>
      </c>
      <c r="H36" s="2" t="s">
        <v>15</v>
      </c>
      <c r="I36" s="7">
        <v>10</v>
      </c>
      <c r="J36" s="7"/>
      <c r="N36" s="26" t="s">
        <v>28</v>
      </c>
    </row>
    <row r="37" spans="3:15">
      <c r="C37" s="3">
        <v>45801</v>
      </c>
      <c r="D37" s="3" t="str">
        <f>INDEX(week!D:D,MATCH(Table25[[#This Row],[DATE]],week!B:B,1))</f>
        <v>Week 4</v>
      </c>
      <c r="E37" s="2" t="str">
        <f>TEXT(Table25[[#This Row],[DATE]],"dddd")</f>
        <v>Saturday</v>
      </c>
      <c r="F37" s="2" t="s">
        <v>25</v>
      </c>
      <c r="G37" t="s">
        <v>26</v>
      </c>
      <c r="H37" s="2" t="s">
        <v>15</v>
      </c>
      <c r="I37" s="7">
        <v>95</v>
      </c>
      <c r="J37" s="7"/>
      <c r="N37" s="26" t="s">
        <v>62</v>
      </c>
    </row>
    <row r="38" spans="3:15">
      <c r="C38" s="3">
        <v>45803</v>
      </c>
      <c r="D38" s="3" t="str">
        <f>INDEX(week!D:D,MATCH(Table25[[#This Row],[DATE]],week!B:B,1))</f>
        <v>Week 4</v>
      </c>
      <c r="E38" s="2" t="str">
        <f>TEXT(Table25[[#This Row],[DATE]],"dddd")</f>
        <v>Monday</v>
      </c>
      <c r="F38" s="2" t="s">
        <v>16</v>
      </c>
      <c r="G38" t="s">
        <v>34</v>
      </c>
      <c r="H38" s="2" t="s">
        <v>15</v>
      </c>
      <c r="I38" s="7">
        <v>300</v>
      </c>
      <c r="J38" s="7"/>
    </row>
    <row r="39" spans="3:15">
      <c r="C39" s="3">
        <v>45803</v>
      </c>
      <c r="D39" s="3" t="str">
        <f>INDEX(week!D:D,MATCH(Table25[[#This Row],[DATE]],week!B:B,1))</f>
        <v>Week 4</v>
      </c>
      <c r="E39" s="2" t="str">
        <f>TEXT(Table25[[#This Row],[DATE]],"dddd")</f>
        <v>Monday</v>
      </c>
      <c r="F39" s="2" t="s">
        <v>13</v>
      </c>
      <c r="G39" t="s">
        <v>35</v>
      </c>
      <c r="H39" s="2" t="s">
        <v>15</v>
      </c>
      <c r="I39" s="7">
        <v>70</v>
      </c>
      <c r="J39" s="7"/>
    </row>
    <row r="40" spans="3:15">
      <c r="C40" s="3">
        <v>45803</v>
      </c>
      <c r="D40" s="3" t="str">
        <f>INDEX(week!D:D,MATCH(Table25[[#This Row],[DATE]],week!B:B,1))</f>
        <v>Week 4</v>
      </c>
      <c r="E40" s="2" t="str">
        <f>TEXT(Table25[[#This Row],[DATE]],"dddd")</f>
        <v>Monday</v>
      </c>
      <c r="F40" s="2" t="s">
        <v>25</v>
      </c>
      <c r="G40" t="s">
        <v>26</v>
      </c>
      <c r="H40" s="2" t="s">
        <v>15</v>
      </c>
      <c r="I40" s="7">
        <v>10</v>
      </c>
      <c r="J40" s="7"/>
    </row>
    <row r="41" spans="3:15">
      <c r="C41" s="3">
        <v>45804</v>
      </c>
      <c r="D41" s="3" t="str">
        <f>INDEX(week!D:D,MATCH(Table25[[#This Row],[DATE]],week!B:B,1))</f>
        <v>Week 4</v>
      </c>
      <c r="E41" s="2" t="str">
        <f>TEXT(Table25[[#This Row],[DATE]],"dddd")</f>
        <v>Tuesday</v>
      </c>
      <c r="F41" s="2" t="s">
        <v>13</v>
      </c>
      <c r="G41" t="s">
        <v>14</v>
      </c>
      <c r="H41" s="2" t="s">
        <v>15</v>
      </c>
      <c r="I41" s="7">
        <v>10</v>
      </c>
      <c r="J41" s="7"/>
    </row>
    <row r="42" spans="3:15">
      <c r="C42" s="3">
        <v>45806</v>
      </c>
      <c r="D42" s="3" t="str">
        <f>INDEX(week!D:D,MATCH(Table25[[#This Row],[DATE]],week!B:B,1))</f>
        <v>Week 5</v>
      </c>
      <c r="E42" s="2" t="str">
        <f>TEXT(Table25[[#This Row],[DATE]],"dddd")</f>
        <v>Thursday</v>
      </c>
      <c r="F42" s="2" t="s">
        <v>28</v>
      </c>
      <c r="G42" t="s">
        <v>29</v>
      </c>
      <c r="H42" s="2" t="s">
        <v>15</v>
      </c>
      <c r="I42" s="7">
        <v>299</v>
      </c>
      <c r="J42" s="7"/>
    </row>
    <row r="43" spans="3:15">
      <c r="C43" s="3">
        <v>45806</v>
      </c>
      <c r="D43" s="3" t="str">
        <f>INDEX(week!D:D,MATCH(Table25[[#This Row],[DATE]],week!B:B,1))</f>
        <v>Week 5</v>
      </c>
      <c r="E43" s="2" t="str">
        <f>TEXT(Table25[[#This Row],[DATE]],"dddd")</f>
        <v>Thursday</v>
      </c>
      <c r="F43" s="2" t="s">
        <v>28</v>
      </c>
      <c r="G43" t="s">
        <v>1</v>
      </c>
      <c r="H43" s="2" t="s">
        <v>15</v>
      </c>
      <c r="I43" s="7">
        <v>220</v>
      </c>
      <c r="J43" s="7"/>
    </row>
    <row r="44" spans="3:15">
      <c r="C44" s="3">
        <v>45806</v>
      </c>
      <c r="D44" s="3" t="str">
        <f>INDEX(week!D:D,MATCH(Table25[[#This Row],[DATE]],week!B:B,1))</f>
        <v>Week 5</v>
      </c>
      <c r="E44" s="2" t="str">
        <f>TEXT(Table25[[#This Row],[DATE]],"dddd")</f>
        <v>Thursday</v>
      </c>
      <c r="F44" s="2" t="s">
        <v>13</v>
      </c>
      <c r="G44" t="s">
        <v>14</v>
      </c>
      <c r="H44" s="2" t="s">
        <v>15</v>
      </c>
      <c r="I44" s="7">
        <v>10</v>
      </c>
      <c r="J44" s="7"/>
    </row>
    <row r="45" spans="3:15">
      <c r="C45" s="3">
        <v>45807</v>
      </c>
      <c r="D45" s="3" t="str">
        <f>INDEX(week!D:D,MATCH(Table25[[#This Row],[DATE]],week!B:B,1))</f>
        <v>Week 5</v>
      </c>
      <c r="E45" s="2" t="str">
        <f>TEXT(Table25[[#This Row],[DATE]],"dddd")</f>
        <v>Friday</v>
      </c>
      <c r="F45" s="2" t="s">
        <v>25</v>
      </c>
      <c r="G45" t="s">
        <v>26</v>
      </c>
      <c r="H45" s="2" t="s">
        <v>15</v>
      </c>
      <c r="I45" s="7">
        <v>20</v>
      </c>
      <c r="J45" s="7"/>
    </row>
    <row r="46" spans="3:15">
      <c r="C46" s="3">
        <v>45809</v>
      </c>
      <c r="D46" s="3" t="str">
        <f>INDEX(week!D:D,MATCH(Table25[[#This Row],[DATE]],week!B:B,1))</f>
        <v>Week 5</v>
      </c>
      <c r="E46" s="2" t="str">
        <f>TEXT(Table25[[#This Row],[DATE]],"dddd")</f>
        <v>Sunday</v>
      </c>
      <c r="F46" s="2" t="s">
        <v>13</v>
      </c>
      <c r="G46" t="s">
        <v>27</v>
      </c>
      <c r="H46" s="2" t="s">
        <v>15</v>
      </c>
      <c r="I46" s="7">
        <v>50</v>
      </c>
      <c r="J46" s="7"/>
    </row>
    <row r="47" spans="3:15">
      <c r="C47" s="3">
        <v>45809</v>
      </c>
      <c r="D47" s="3" t="str">
        <f>INDEX(week!D:D,MATCH(Table25[[#This Row],[DATE]],week!B:B,1))</f>
        <v>Week 5</v>
      </c>
      <c r="E47" s="2" t="str">
        <f>TEXT(Table25[[#This Row],[DATE]],"dddd")</f>
        <v>Sunday</v>
      </c>
      <c r="F47" s="2" t="s">
        <v>13</v>
      </c>
      <c r="G47" t="s">
        <v>14</v>
      </c>
      <c r="H47" s="2" t="s">
        <v>15</v>
      </c>
      <c r="I47" s="7">
        <v>10</v>
      </c>
      <c r="J47" s="7"/>
    </row>
    <row r="48" spans="3:15">
      <c r="C48" s="3">
        <v>45810</v>
      </c>
      <c r="D48" s="3" t="str">
        <f>INDEX(week!D:D,MATCH(Table25[[#This Row],[DATE]],week!B:B,1))</f>
        <v>Week 5</v>
      </c>
      <c r="E48" s="2" t="str">
        <f>TEXT(Table25[[#This Row],[DATE]],"dddd")</f>
        <v>Monday</v>
      </c>
      <c r="F48" s="2" t="s">
        <v>13</v>
      </c>
      <c r="G48" t="s">
        <v>2</v>
      </c>
      <c r="H48" s="2" t="s">
        <v>15</v>
      </c>
      <c r="I48" s="7">
        <v>60</v>
      </c>
      <c r="J48" s="7"/>
    </row>
    <row r="49" spans="3:10">
      <c r="C49" s="3">
        <v>45810</v>
      </c>
      <c r="D49" s="3" t="str">
        <f>INDEX(week!D:D,MATCH(Table25[[#This Row],[DATE]],week!B:B,1))</f>
        <v>Week 5</v>
      </c>
      <c r="E49" s="2" t="str">
        <f>TEXT(Table25[[#This Row],[DATE]],"dddd")</f>
        <v>Monday</v>
      </c>
      <c r="F49" s="2" t="s">
        <v>13</v>
      </c>
      <c r="G49" t="s">
        <v>14</v>
      </c>
      <c r="H49" s="2" t="s">
        <v>15</v>
      </c>
      <c r="I49" s="7">
        <v>10</v>
      </c>
      <c r="J49" s="7"/>
    </row>
    <row r="50" spans="3:10">
      <c r="C50" s="3">
        <v>45812</v>
      </c>
      <c r="D50" s="3" t="str">
        <f>INDEX(week!D:D,MATCH(Table25[[#This Row],[DATE]],week!B:B,1))</f>
        <v>Week 5</v>
      </c>
      <c r="E50" s="2" t="str">
        <f>TEXT(Table25[[#This Row],[DATE]],"dddd")</f>
        <v>Wednesday</v>
      </c>
      <c r="F50" s="2" t="s">
        <v>13</v>
      </c>
      <c r="G50" t="s">
        <v>14</v>
      </c>
      <c r="H50" s="2" t="s">
        <v>15</v>
      </c>
      <c r="I50" s="7">
        <v>10</v>
      </c>
      <c r="J50" s="7"/>
    </row>
    <row r="51" spans="3:10">
      <c r="C51" s="3">
        <v>45812</v>
      </c>
      <c r="D51" s="3" t="str">
        <f>INDEX(week!D:D,MATCH(Table25[[#This Row],[DATE]],week!B:B,1))</f>
        <v>Week 5</v>
      </c>
      <c r="E51" s="2" t="str">
        <f>TEXT(Table25[[#This Row],[DATE]],"dddd")</f>
        <v>Wednesday</v>
      </c>
      <c r="F51" s="2" t="s">
        <v>28</v>
      </c>
      <c r="G51" t="s">
        <v>3</v>
      </c>
      <c r="H51" s="2" t="s">
        <v>15</v>
      </c>
      <c r="I51" s="7">
        <v>300</v>
      </c>
      <c r="J51" s="7"/>
    </row>
    <row r="52" spans="3:10">
      <c r="C52" s="3">
        <v>45812</v>
      </c>
      <c r="D52" s="3" t="str">
        <f>INDEX(week!D:D,MATCH(Table25[[#This Row],[DATE]],week!B:B,1))</f>
        <v>Week 5</v>
      </c>
      <c r="E52" s="2" t="str">
        <f>TEXT(Table25[[#This Row],[DATE]],"dddd")</f>
        <v>Wednesday</v>
      </c>
      <c r="F52" s="2" t="s">
        <v>28</v>
      </c>
      <c r="G52" t="s">
        <v>36</v>
      </c>
      <c r="H52" s="2" t="s">
        <v>15</v>
      </c>
      <c r="I52" s="7">
        <v>40</v>
      </c>
      <c r="J52" s="7"/>
    </row>
    <row r="53" spans="3:10">
      <c r="C53" s="3">
        <v>45812</v>
      </c>
      <c r="D53" s="3" t="str">
        <f>INDEX(week!D:D,MATCH(Table25[[#This Row],[DATE]],week!B:B,1))</f>
        <v>Week 5</v>
      </c>
      <c r="E53" s="2" t="str">
        <f>TEXT(Table25[[#This Row],[DATE]],"dddd")</f>
        <v>Wednesday</v>
      </c>
      <c r="F53" s="2" t="s">
        <v>28</v>
      </c>
      <c r="G53" t="s">
        <v>29</v>
      </c>
      <c r="H53" s="2" t="s">
        <v>15</v>
      </c>
      <c r="I53" s="7">
        <v>26</v>
      </c>
      <c r="J53" s="7"/>
    </row>
    <row r="54" spans="3:10">
      <c r="C54" s="3">
        <v>45812</v>
      </c>
      <c r="D54" s="3" t="str">
        <f>INDEX(week!D:D,MATCH(Table25[[#This Row],[DATE]],week!B:B,1))</f>
        <v>Week 5</v>
      </c>
      <c r="E54" s="2" t="str">
        <f>TEXT(Table25[[#This Row],[DATE]],"dddd")</f>
        <v>Wednesday</v>
      </c>
      <c r="F54" s="2" t="s">
        <v>28</v>
      </c>
      <c r="G54" t="s">
        <v>37</v>
      </c>
      <c r="H54" s="2" t="s">
        <v>15</v>
      </c>
      <c r="I54" s="7">
        <v>10</v>
      </c>
      <c r="J54" s="7"/>
    </row>
    <row r="55" spans="3:10">
      <c r="C55" s="3">
        <v>45812</v>
      </c>
      <c r="D55" s="3" t="str">
        <f>INDEX(week!D:D,MATCH(Table25[[#This Row],[DATE]],week!B:B,1))</f>
        <v>Week 5</v>
      </c>
      <c r="E55" s="2" t="str">
        <f>TEXT(Table25[[#This Row],[DATE]],"dddd")</f>
        <v>Wednesday</v>
      </c>
      <c r="F55" s="2" t="s">
        <v>28</v>
      </c>
      <c r="G55" t="s">
        <v>38</v>
      </c>
      <c r="H55" s="2" t="s">
        <v>15</v>
      </c>
      <c r="I55" s="7">
        <v>111</v>
      </c>
      <c r="J55" s="7"/>
    </row>
    <row r="56" spans="3:10">
      <c r="C56" s="3">
        <v>45812</v>
      </c>
      <c r="D56" s="3" t="str">
        <f>INDEX(week!D:D,MATCH(Table25[[#This Row],[DATE]],week!B:B,1))</f>
        <v>Week 5</v>
      </c>
      <c r="E56" s="2" t="str">
        <f>TEXT(Table25[[#This Row],[DATE]],"dddd")</f>
        <v>Wednesday</v>
      </c>
      <c r="F56" s="2" t="s">
        <v>13</v>
      </c>
      <c r="G56" t="s">
        <v>33</v>
      </c>
      <c r="H56" s="2" t="s">
        <v>15</v>
      </c>
      <c r="I56" s="7">
        <v>20</v>
      </c>
      <c r="J56" s="7"/>
    </row>
    <row r="57" spans="3:10">
      <c r="C57" s="3">
        <v>45813</v>
      </c>
      <c r="D57" s="3" t="str">
        <f>INDEX(week!D:D,MATCH(Table25[[#This Row],[DATE]],week!B:B,1))</f>
        <v>Week 6</v>
      </c>
      <c r="E57" s="2" t="str">
        <f>TEXT(Table25[[#This Row],[DATE]],"dddd")</f>
        <v>Thursday</v>
      </c>
      <c r="F57" s="2" t="s">
        <v>13</v>
      </c>
      <c r="G57" t="s">
        <v>33</v>
      </c>
      <c r="H57" s="2" t="s">
        <v>15</v>
      </c>
      <c r="I57" s="7">
        <v>30</v>
      </c>
      <c r="J57" s="7"/>
    </row>
    <row r="58" spans="3:10">
      <c r="C58" s="1" t="s">
        <v>6</v>
      </c>
      <c r="D58" s="33"/>
      <c r="I58" s="8">
        <f>SUM(I8:I57)</f>
        <v>29353</v>
      </c>
      <c r="J58" s="8"/>
    </row>
    <row r="59" spans="3:10">
      <c r="C59" s="1" t="s">
        <v>7</v>
      </c>
      <c r="D59" s="33"/>
      <c r="I59" s="8">
        <f>SUBTOTAL(109,I8:I57)</f>
        <v>29353</v>
      </c>
      <c r="J59" s="8"/>
    </row>
  </sheetData>
  <mergeCells count="1">
    <mergeCell ref="C5:I6"/>
  </mergeCells>
  <conditionalFormatting sqref="O51:P51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:J59">
    <cfRule type="containsText" dxfId="6" priority="5" operator="containsText" text="Sunday">
      <formula>NOT(ISERROR(SEARCH("Sunday",C8)))</formula>
    </cfRule>
    <cfRule type="dataBar" priority="6">
      <dataBar>
        <cfvo type="min" val="0"/>
        <cfvo type="max" val="0"/>
        <color rgb="FFFF555A"/>
      </dataBar>
    </cfRule>
  </conditionalFormatting>
  <conditionalFormatting sqref="O1:O24">
    <cfRule type="containsText" dxfId="5" priority="1" operator="containsText" text="Sunday">
      <formula>NOT(ISERROR(SEARCH("Sunday",O1)))</formula>
    </cfRule>
    <cfRule type="dataBar" priority="2">
      <dataBar>
        <cfvo type="min" val="0"/>
        <cfvo type="max" val="0"/>
        <color rgb="FFFF555A"/>
      </dataBar>
    </cfRule>
  </conditionalFormatting>
  <dataValidations count="4">
    <dataValidation type="list" allowBlank="1" showInputMessage="1" showErrorMessage="1" sqref="F8:F57">
      <formula1>catogories</formula1>
    </dataValidation>
    <dataValidation type="list" allowBlank="1" showInputMessage="1" showErrorMessage="1" sqref="H8:H57">
      <formula1>P_method</formula1>
    </dataValidation>
    <dataValidation type="list" allowBlank="1" showInputMessage="1" showErrorMessage="1" sqref="K17 K22">
      <formula1>$O$1:$O$24</formula1>
    </dataValidation>
    <dataValidation type="list" allowBlank="1" showInputMessage="1" showErrorMessage="1" sqref="K23">
      <formula1>$O$31:$O$34</formula1>
    </dataValidation>
  </dataValidations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B2" sqref="B2:B5"/>
    </sheetView>
  </sheetViews>
  <sheetFormatPr defaultRowHeight="15"/>
  <cols>
    <col min="1" max="1" width="14.140625" bestFit="1" customWidth="1"/>
    <col min="2" max="2" width="18" bestFit="1" customWidth="1"/>
  </cols>
  <sheetData>
    <row r="1" spans="1:6">
      <c r="A1" s="25" t="s">
        <v>64</v>
      </c>
      <c r="B1" s="25" t="s">
        <v>63</v>
      </c>
      <c r="F1" s="27" t="s">
        <v>11</v>
      </c>
    </row>
    <row r="2" spans="1:6">
      <c r="A2" s="26" t="s">
        <v>10</v>
      </c>
      <c r="B2" s="26" t="s">
        <v>15</v>
      </c>
      <c r="F2" s="28" t="s">
        <v>14</v>
      </c>
    </row>
    <row r="3" spans="1:6">
      <c r="A3" s="26" t="s">
        <v>13</v>
      </c>
      <c r="B3" s="26" t="s">
        <v>12</v>
      </c>
      <c r="F3" s="28" t="s">
        <v>17</v>
      </c>
    </row>
    <row r="4" spans="1:6">
      <c r="A4" s="26" t="s">
        <v>61</v>
      </c>
      <c r="B4" s="26" t="s">
        <v>40</v>
      </c>
      <c r="F4" s="29" t="s">
        <v>19</v>
      </c>
    </row>
    <row r="5" spans="1:6">
      <c r="A5" s="26" t="s">
        <v>23</v>
      </c>
      <c r="B5" s="26" t="s">
        <v>65</v>
      </c>
      <c r="F5" s="28" t="s">
        <v>20</v>
      </c>
    </row>
    <row r="6" spans="1:6">
      <c r="A6" s="26" t="s">
        <v>25</v>
      </c>
      <c r="F6" s="28" t="s">
        <v>21</v>
      </c>
    </row>
    <row r="7" spans="1:6">
      <c r="A7" s="26" t="s">
        <v>28</v>
      </c>
      <c r="F7" s="29" t="s">
        <v>22</v>
      </c>
    </row>
    <row r="8" spans="1:6">
      <c r="A8" s="26" t="s">
        <v>62</v>
      </c>
      <c r="F8" s="28" t="s">
        <v>24</v>
      </c>
    </row>
    <row r="9" spans="1:6">
      <c r="F9" s="29" t="s">
        <v>26</v>
      </c>
    </row>
    <row r="10" spans="1:6">
      <c r="F10" s="29" t="s">
        <v>27</v>
      </c>
    </row>
    <row r="11" spans="1:6">
      <c r="F11" s="28" t="s">
        <v>39</v>
      </c>
    </row>
    <row r="12" spans="1:6">
      <c r="F12" s="29" t="s">
        <v>29</v>
      </c>
    </row>
    <row r="13" spans="1:6">
      <c r="F13" s="28" t="s">
        <v>30</v>
      </c>
    </row>
    <row r="14" spans="1:6">
      <c r="F14" s="29" t="s">
        <v>31</v>
      </c>
    </row>
    <row r="15" spans="1:6">
      <c r="F15" s="29" t="s">
        <v>32</v>
      </c>
    </row>
    <row r="16" spans="1:6">
      <c r="F16" s="28" t="s">
        <v>33</v>
      </c>
    </row>
    <row r="17" spans="6:6">
      <c r="F17" s="29" t="s">
        <v>34</v>
      </c>
    </row>
    <row r="18" spans="6:6">
      <c r="F18" s="28" t="s">
        <v>35</v>
      </c>
    </row>
    <row r="19" spans="6:6">
      <c r="F19" s="28" t="s">
        <v>1</v>
      </c>
    </row>
    <row r="20" spans="6:6">
      <c r="F20" s="29" t="s">
        <v>2</v>
      </c>
    </row>
    <row r="21" spans="6:6">
      <c r="F21" s="28" t="s">
        <v>3</v>
      </c>
    </row>
    <row r="22" spans="6:6">
      <c r="F22" s="29" t="s">
        <v>36</v>
      </c>
    </row>
    <row r="23" spans="6:6">
      <c r="F23" s="29" t="s">
        <v>37</v>
      </c>
    </row>
    <row r="24" spans="6:6">
      <c r="F24" s="28" t="s">
        <v>38</v>
      </c>
    </row>
  </sheetData>
  <conditionalFormatting sqref="F1:F24">
    <cfRule type="containsText" dxfId="0" priority="1" operator="containsText" text="Sunday">
      <formula>NOT(ISERROR(SEARCH("Sunday",F1)))</formula>
    </cfRule>
    <cfRule type="dataBar" priority="2">
      <dataBar>
        <cfvo type="min" val="0"/>
        <cfvo type="max" val="0"/>
        <color rgb="FFFF555A"/>
      </dataBar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3:O13"/>
  <sheetViews>
    <sheetView workbookViewId="0">
      <selection activeCell="E25" sqref="E25"/>
    </sheetView>
  </sheetViews>
  <sheetFormatPr defaultRowHeight="15"/>
  <cols>
    <col min="2" max="2" width="10.42578125" bestFit="1" customWidth="1"/>
    <col min="3" max="3" width="10.42578125" customWidth="1"/>
    <col min="9" max="9" width="15.85546875" bestFit="1" customWidth="1"/>
  </cols>
  <sheetData>
    <row r="3" spans="2:15">
      <c r="B3" s="9">
        <v>45778</v>
      </c>
      <c r="C3" s="9">
        <f>B3+6</f>
        <v>45784</v>
      </c>
      <c r="D3" t="s">
        <v>68</v>
      </c>
    </row>
    <row r="4" spans="2:15">
      <c r="B4" s="9">
        <f>B3+7</f>
        <v>45785</v>
      </c>
      <c r="C4" s="9">
        <f t="shared" ref="C4:C10" si="0">B4+6</f>
        <v>45791</v>
      </c>
      <c r="D4" t="s">
        <v>69</v>
      </c>
    </row>
    <row r="5" spans="2:15">
      <c r="B5" s="9">
        <f t="shared" ref="B5:B12" si="1">B4+7</f>
        <v>45792</v>
      </c>
      <c r="C5" s="9">
        <f t="shared" si="0"/>
        <v>45798</v>
      </c>
      <c r="D5" t="s">
        <v>70</v>
      </c>
      <c r="I5" t="s">
        <v>78</v>
      </c>
      <c r="J5" t="s">
        <v>44</v>
      </c>
    </row>
    <row r="6" spans="2:15">
      <c r="B6" s="9">
        <f t="shared" si="1"/>
        <v>45799</v>
      </c>
      <c r="C6" s="9">
        <f t="shared" si="0"/>
        <v>45805</v>
      </c>
      <c r="D6" t="s">
        <v>71</v>
      </c>
      <c r="I6" t="s">
        <v>42</v>
      </c>
      <c r="J6" t="s">
        <v>69</v>
      </c>
      <c r="K6" t="s">
        <v>70</v>
      </c>
      <c r="L6" t="s">
        <v>71</v>
      </c>
      <c r="M6" t="s">
        <v>72</v>
      </c>
      <c r="N6" t="s">
        <v>73</v>
      </c>
      <c r="O6" t="s">
        <v>43</v>
      </c>
    </row>
    <row r="7" spans="2:15">
      <c r="B7" s="9">
        <f t="shared" si="1"/>
        <v>45806</v>
      </c>
      <c r="C7" s="9">
        <f t="shared" si="0"/>
        <v>45812</v>
      </c>
      <c r="D7" t="s">
        <v>72</v>
      </c>
      <c r="I7" s="6" t="s">
        <v>16</v>
      </c>
      <c r="J7" s="4">
        <v>6000</v>
      </c>
      <c r="K7" s="4">
        <v>115</v>
      </c>
      <c r="L7" s="4">
        <v>300</v>
      </c>
      <c r="M7" s="4"/>
      <c r="N7" s="4"/>
      <c r="O7" s="4">
        <v>6415</v>
      </c>
    </row>
    <row r="8" spans="2:15">
      <c r="B8" s="9">
        <f t="shared" si="1"/>
        <v>45813</v>
      </c>
      <c r="C8" s="9">
        <f t="shared" si="0"/>
        <v>45819</v>
      </c>
      <c r="D8" t="s">
        <v>73</v>
      </c>
      <c r="I8" s="6" t="s">
        <v>10</v>
      </c>
      <c r="J8" s="4">
        <v>12000</v>
      </c>
      <c r="K8" s="4"/>
      <c r="L8" s="4"/>
      <c r="M8" s="4"/>
      <c r="N8" s="4"/>
      <c r="O8" s="4">
        <v>12000</v>
      </c>
    </row>
    <row r="9" spans="2:15">
      <c r="B9" s="9">
        <f t="shared" si="1"/>
        <v>45820</v>
      </c>
      <c r="C9" s="9">
        <f t="shared" si="0"/>
        <v>45826</v>
      </c>
      <c r="D9" t="s">
        <v>74</v>
      </c>
      <c r="I9" s="6" t="s">
        <v>13</v>
      </c>
      <c r="J9" s="4">
        <v>4960</v>
      </c>
      <c r="K9" s="4">
        <v>40</v>
      </c>
      <c r="L9" s="4">
        <v>110</v>
      </c>
      <c r="M9" s="4">
        <v>170</v>
      </c>
      <c r="N9" s="4">
        <v>30</v>
      </c>
      <c r="O9" s="4">
        <v>5310</v>
      </c>
    </row>
    <row r="10" spans="2:15">
      <c r="B10" s="9">
        <f t="shared" si="1"/>
        <v>45827</v>
      </c>
      <c r="C10" s="9">
        <f t="shared" si="0"/>
        <v>45833</v>
      </c>
      <c r="D10" t="s">
        <v>75</v>
      </c>
      <c r="I10" s="6" t="s">
        <v>25</v>
      </c>
      <c r="J10" s="4">
        <v>155</v>
      </c>
      <c r="K10" s="4">
        <v>140</v>
      </c>
      <c r="L10" s="4">
        <v>105</v>
      </c>
      <c r="M10" s="4">
        <v>20</v>
      </c>
      <c r="N10" s="4"/>
      <c r="O10" s="4">
        <v>420</v>
      </c>
    </row>
    <row r="11" spans="2:15">
      <c r="B11" s="9">
        <f t="shared" si="1"/>
        <v>45834</v>
      </c>
      <c r="C11" s="9">
        <f t="shared" ref="C11:C12" si="2">B11+6</f>
        <v>45840</v>
      </c>
      <c r="D11" t="s">
        <v>76</v>
      </c>
      <c r="I11" s="6" t="s">
        <v>23</v>
      </c>
      <c r="J11" s="4">
        <v>300</v>
      </c>
      <c r="K11" s="4"/>
      <c r="L11" s="4"/>
      <c r="M11" s="4"/>
      <c r="N11" s="4"/>
      <c r="O11" s="4">
        <v>300</v>
      </c>
    </row>
    <row r="12" spans="2:15">
      <c r="B12" s="9">
        <f t="shared" si="1"/>
        <v>45841</v>
      </c>
      <c r="C12" s="9">
        <f t="shared" si="2"/>
        <v>45847</v>
      </c>
      <c r="D12" t="s">
        <v>77</v>
      </c>
      <c r="I12" s="6" t="s">
        <v>28</v>
      </c>
      <c r="J12" s="4"/>
      <c r="K12" s="4">
        <v>3702</v>
      </c>
      <c r="L12" s="4">
        <v>200</v>
      </c>
      <c r="M12" s="4">
        <v>1006</v>
      </c>
      <c r="N12" s="4"/>
      <c r="O12" s="4">
        <v>4908</v>
      </c>
    </row>
    <row r="13" spans="2:15">
      <c r="I13" s="6" t="s">
        <v>43</v>
      </c>
      <c r="J13" s="4">
        <v>23415</v>
      </c>
      <c r="K13" s="4">
        <v>3997</v>
      </c>
      <c r="L13" s="4">
        <v>715</v>
      </c>
      <c r="M13" s="4">
        <v>1196</v>
      </c>
      <c r="N13" s="4">
        <v>30</v>
      </c>
      <c r="O13" s="4">
        <v>29353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L12"/>
  <sheetViews>
    <sheetView tabSelected="1" workbookViewId="0">
      <selection activeCell="O10" sqref="O10"/>
    </sheetView>
  </sheetViews>
  <sheetFormatPr defaultRowHeight="15"/>
  <cols>
    <col min="2" max="2" width="11.28515625" bestFit="1" customWidth="1"/>
    <col min="9" max="9" width="11.28515625" bestFit="1" customWidth="1"/>
  </cols>
  <sheetData>
    <row r="2" spans="2:12">
      <c r="I2" s="35" t="str">
        <f>"Expense Comparision For "&amp; J3&amp;" "&amp;K3</f>
        <v>Expense Comparision For Week 5 Week 3</v>
      </c>
      <c r="J2" s="35"/>
      <c r="K2" s="35"/>
      <c r="L2" s="35"/>
    </row>
    <row r="3" spans="2:12">
      <c r="C3" s="41" t="s">
        <v>69</v>
      </c>
      <c r="D3" s="42" t="s">
        <v>70</v>
      </c>
      <c r="E3" s="42" t="s">
        <v>71</v>
      </c>
      <c r="F3" s="42" t="s">
        <v>72</v>
      </c>
      <c r="G3" s="43" t="s">
        <v>73</v>
      </c>
      <c r="J3" s="37" t="str">
        <f>B12</f>
        <v>Week 5</v>
      </c>
      <c r="K3" s="35" t="str">
        <f>C12</f>
        <v>Week 3</v>
      </c>
    </row>
    <row r="4" spans="2:12">
      <c r="B4" s="38" t="s">
        <v>16</v>
      </c>
      <c r="C4" s="34">
        <f>SUMIFS('Source Data'!$I$8:$I$57,'Source Data'!$D$8:$D$57,Dashboard!C$3,'Source Data'!$F$8:$F$57,Dashboard!$B4)</f>
        <v>6000</v>
      </c>
      <c r="D4" s="34">
        <f>SUMIFS('Source Data'!$I$8:$I$57,'Source Data'!$D$8:$D$57,Dashboard!D$3,'Source Data'!$F$8:$F$57,Dashboard!$B4)</f>
        <v>115</v>
      </c>
      <c r="E4" s="34">
        <f>SUMIFS('Source Data'!$I$8:$I$57,'Source Data'!$D$8:$D$57,Dashboard!E$3,'Source Data'!$F$8:$F$57,Dashboard!$B4)</f>
        <v>300</v>
      </c>
      <c r="F4" s="34">
        <f>SUMIFS('Source Data'!$I$8:$I$57,'Source Data'!$D$8:$D$57,Dashboard!F$3,'Source Data'!$F$8:$F$57,Dashboard!$B4)</f>
        <v>0</v>
      </c>
      <c r="G4" s="34">
        <f>SUMIFS('Source Data'!$I$8:$I$57,'Source Data'!$D$8:$D$57,Dashboard!G$3,'Source Data'!$F$8:$F$57,Dashboard!$B4)</f>
        <v>0</v>
      </c>
      <c r="I4" s="44" t="s">
        <v>16</v>
      </c>
      <c r="J4" s="34">
        <f>INDEX($C$4:$G$9,MATCH($I4,$B$4:$B$9,0),MATCH(J$3,$C$3:$G$3,0))</f>
        <v>0</v>
      </c>
      <c r="K4" s="34">
        <f>INDEX($C$4:$G$9,MATCH($I4,$B$4:$B$9,0),MATCH(K$3,$C$3:$G$3,0))</f>
        <v>115</v>
      </c>
    </row>
    <row r="5" spans="2:12">
      <c r="B5" s="39" t="s">
        <v>10</v>
      </c>
      <c r="C5" s="34">
        <f>SUMIFS('Source Data'!$I$8:$I$57,'Source Data'!$D$8:$D$57,Dashboard!C$3,'Source Data'!$F$8:$F$57,Dashboard!$B5)</f>
        <v>12000</v>
      </c>
      <c r="D5" s="34">
        <f>SUMIFS('Source Data'!$I$8:$I$57,'Source Data'!$D$8:$D$57,Dashboard!D$3,'Source Data'!$F$8:$F$57,Dashboard!$B5)</f>
        <v>0</v>
      </c>
      <c r="E5" s="34">
        <f>SUMIFS('Source Data'!$I$8:$I$57,'Source Data'!$D$8:$D$57,Dashboard!E$3,'Source Data'!$F$8:$F$57,Dashboard!$B5)</f>
        <v>0</v>
      </c>
      <c r="F5" s="34">
        <f>SUMIFS('Source Data'!$I$8:$I$57,'Source Data'!$D$8:$D$57,Dashboard!F$3,'Source Data'!$F$8:$F$57,Dashboard!$B5)</f>
        <v>0</v>
      </c>
      <c r="G5" s="34">
        <f>SUMIFS('Source Data'!$I$8:$I$57,'Source Data'!$D$8:$D$57,Dashboard!G$3,'Source Data'!$F$8:$F$57,Dashboard!$B5)</f>
        <v>0</v>
      </c>
      <c r="I5" s="45" t="s">
        <v>10</v>
      </c>
      <c r="J5" s="34">
        <f t="shared" ref="J5:K8" si="0">INDEX($C$4:$G$9,MATCH($I5,$B$4:$B$9,0),MATCH(J$3,$C$3:$G$3,0))</f>
        <v>0</v>
      </c>
      <c r="K5" s="34">
        <f t="shared" si="0"/>
        <v>0</v>
      </c>
    </row>
    <row r="6" spans="2:12">
      <c r="B6" s="39" t="s">
        <v>13</v>
      </c>
      <c r="C6" s="34">
        <f>SUMIFS('Source Data'!$I$8:$I$57,'Source Data'!$D$8:$D$57,Dashboard!C$3,'Source Data'!$F$8:$F$57,Dashboard!$B6)</f>
        <v>4960</v>
      </c>
      <c r="D6" s="34">
        <f>SUMIFS('Source Data'!$I$8:$I$57,'Source Data'!$D$8:$D$57,Dashboard!D$3,'Source Data'!$F$8:$F$57,Dashboard!$B6)</f>
        <v>40</v>
      </c>
      <c r="E6" s="34">
        <f>SUMIFS('Source Data'!$I$8:$I$57,'Source Data'!$D$8:$D$57,Dashboard!E$3,'Source Data'!$F$8:$F$57,Dashboard!$B6)</f>
        <v>110</v>
      </c>
      <c r="F6" s="34">
        <f>SUMIFS('Source Data'!$I$8:$I$57,'Source Data'!$D$8:$D$57,Dashboard!F$3,'Source Data'!$F$8:$F$57,Dashboard!$B6)</f>
        <v>170</v>
      </c>
      <c r="G6" s="34">
        <f>SUMIFS('Source Data'!$I$8:$I$57,'Source Data'!$D$8:$D$57,Dashboard!G$3,'Source Data'!$F$8:$F$57,Dashboard!$B6)</f>
        <v>30</v>
      </c>
      <c r="I6" s="45" t="s">
        <v>13</v>
      </c>
      <c r="J6" s="34">
        <f t="shared" si="0"/>
        <v>170</v>
      </c>
      <c r="K6" s="34">
        <f t="shared" si="0"/>
        <v>40</v>
      </c>
    </row>
    <row r="7" spans="2:12">
      <c r="B7" s="39" t="s">
        <v>25</v>
      </c>
      <c r="C7" s="34">
        <f>SUMIFS('Source Data'!$I$8:$I$57,'Source Data'!$D$8:$D$57,Dashboard!C$3,'Source Data'!$F$8:$F$57,Dashboard!$B7)</f>
        <v>155</v>
      </c>
      <c r="D7" s="34">
        <f>SUMIFS('Source Data'!$I$8:$I$57,'Source Data'!$D$8:$D$57,Dashboard!D$3,'Source Data'!$F$8:$F$57,Dashboard!$B7)</f>
        <v>140</v>
      </c>
      <c r="E7" s="34">
        <f>SUMIFS('Source Data'!$I$8:$I$57,'Source Data'!$D$8:$D$57,Dashboard!E$3,'Source Data'!$F$8:$F$57,Dashboard!$B7)</f>
        <v>105</v>
      </c>
      <c r="F7" s="34">
        <f>SUMIFS('Source Data'!$I$8:$I$57,'Source Data'!$D$8:$D$57,Dashboard!F$3,'Source Data'!$F$8:$F$57,Dashboard!$B7)</f>
        <v>20</v>
      </c>
      <c r="G7" s="34">
        <f>SUMIFS('Source Data'!$I$8:$I$57,'Source Data'!$D$8:$D$57,Dashboard!G$3,'Source Data'!$F$8:$F$57,Dashboard!$B7)</f>
        <v>0</v>
      </c>
      <c r="I7" s="45" t="s">
        <v>25</v>
      </c>
      <c r="J7" s="34">
        <f t="shared" si="0"/>
        <v>20</v>
      </c>
      <c r="K7" s="34">
        <f t="shared" si="0"/>
        <v>140</v>
      </c>
    </row>
    <row r="8" spans="2:12">
      <c r="B8" s="39" t="s">
        <v>23</v>
      </c>
      <c r="C8" s="34">
        <f>SUMIFS('Source Data'!$I$8:$I$57,'Source Data'!$D$8:$D$57,Dashboard!C$3,'Source Data'!$F$8:$F$57,Dashboard!$B8)</f>
        <v>300</v>
      </c>
      <c r="D8" s="34">
        <f>SUMIFS('Source Data'!$I$8:$I$57,'Source Data'!$D$8:$D$57,Dashboard!D$3,'Source Data'!$F$8:$F$57,Dashboard!$B8)</f>
        <v>0</v>
      </c>
      <c r="E8" s="34">
        <f>SUMIFS('Source Data'!$I$8:$I$57,'Source Data'!$D$8:$D$57,Dashboard!E$3,'Source Data'!$F$8:$F$57,Dashboard!$B8)</f>
        <v>0</v>
      </c>
      <c r="F8" s="34">
        <f>SUMIFS('Source Data'!$I$8:$I$57,'Source Data'!$D$8:$D$57,Dashboard!F$3,'Source Data'!$F$8:$F$57,Dashboard!$B8)</f>
        <v>0</v>
      </c>
      <c r="G8" s="34">
        <f>SUMIFS('Source Data'!$I$8:$I$57,'Source Data'!$D$8:$D$57,Dashboard!G$3,'Source Data'!$F$8:$F$57,Dashboard!$B8)</f>
        <v>0</v>
      </c>
      <c r="I8" s="45" t="s">
        <v>23</v>
      </c>
      <c r="J8" s="34">
        <f t="shared" si="0"/>
        <v>0</v>
      </c>
      <c r="K8" s="34">
        <f t="shared" si="0"/>
        <v>0</v>
      </c>
    </row>
    <row r="9" spans="2:12">
      <c r="B9" s="40" t="s">
        <v>28</v>
      </c>
      <c r="C9" s="34">
        <f>SUMIFS('Source Data'!$I$8:$I$57,'Source Data'!$D$8:$D$57,Dashboard!C$3,'Source Data'!$F$8:$F$57,Dashboard!$B9)</f>
        <v>0</v>
      </c>
      <c r="D9" s="34">
        <f>SUMIFS('Source Data'!$I$8:$I$57,'Source Data'!$D$8:$D$57,Dashboard!D$3,'Source Data'!$F$8:$F$57,Dashboard!$B9)</f>
        <v>3702</v>
      </c>
      <c r="E9" s="34">
        <f>SUMIFS('Source Data'!$I$8:$I$57,'Source Data'!$D$8:$D$57,Dashboard!E$3,'Source Data'!$F$8:$F$57,Dashboard!$B9)</f>
        <v>200</v>
      </c>
      <c r="F9" s="34">
        <f>SUMIFS('Source Data'!$I$8:$I$57,'Source Data'!$D$8:$D$57,Dashboard!F$3,'Source Data'!$F$8:$F$57,Dashboard!$B9)</f>
        <v>1006</v>
      </c>
      <c r="G9" s="34">
        <f>SUMIFS('Source Data'!$I$8:$I$57,'Source Data'!$D$8:$D$57,Dashboard!G$3,'Source Data'!$F$8:$F$57,Dashboard!$B9)</f>
        <v>0</v>
      </c>
      <c r="I9" s="46" t="s">
        <v>28</v>
      </c>
      <c r="J9" s="34">
        <f>INDEX($C$4:$G$9,MATCH($I9,$B$4:$B$9,0),MATCH(J$3,$C$3:$G$3,0))</f>
        <v>1006</v>
      </c>
      <c r="K9" s="34">
        <f>INDEX($C$4:$G$9,MATCH($I9,$B$4:$B$9,0),MATCH(K$3,$C$3:$G$3,0))</f>
        <v>3702</v>
      </c>
    </row>
    <row r="12" spans="2:12">
      <c r="B12" s="36" t="s">
        <v>72</v>
      </c>
      <c r="C12" s="20" t="s">
        <v>70</v>
      </c>
    </row>
  </sheetData>
  <dataValidations count="1">
    <dataValidation type="list" allowBlank="1" showInputMessage="1" showErrorMessage="1" sqref="B12:C12">
      <formula1>$C$3:$G$3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Pivot Table</vt:lpstr>
      <vt:lpstr>Pivot</vt:lpstr>
      <vt:lpstr>Source Data</vt:lpstr>
      <vt:lpstr>Lists</vt:lpstr>
      <vt:lpstr>week</vt:lpstr>
      <vt:lpstr>Dashboard</vt:lpstr>
      <vt:lpstr>catogories</vt:lpstr>
      <vt:lpstr>P_method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borse</cp:lastModifiedBy>
  <dcterms:created xsi:type="dcterms:W3CDTF">2025-06-26T13:12:02Z</dcterms:created>
  <dcterms:modified xsi:type="dcterms:W3CDTF">2025-08-02T11:10:37Z</dcterms:modified>
</cp:coreProperties>
</file>