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opamin\dopamineteam\MobileCenterAbadan\bin\"/>
    </mc:Choice>
  </mc:AlternateContent>
  <bookViews>
    <workbookView xWindow="0" yWindow="0" windowWidth="20490" windowHeight="7800"/>
  </bookViews>
  <sheets>
    <sheet name="Sheet1" sheetId="1" r:id="rId1"/>
  </sheets>
  <externalReferences>
    <externalReference r:id="rId2"/>
  </externalReferences>
  <definedNames>
    <definedName name="_xlnm._FilterDatabase" localSheetId="0" hidden="1">Sheet1!$A$1:$BQ$332</definedName>
    <definedName name="تعداد">[1]Sheet2!$BA$19:$BA$37</definedName>
    <definedName name="چربیها">[1]Sheet2!$AC$301:$AC$326</definedName>
    <definedName name="سبزیجات">[1]Sheet2!$AC$211:$AC$218</definedName>
    <definedName name="سروینگ">[1]Sheet2!$AY$19:$AY$26</definedName>
    <definedName name="کلها">[1]Sheet2!$AC:$AC</definedName>
    <definedName name="نانها">[1]Sheet2!$AC$237:$AC$252</definedName>
    <definedName name="نوشیدنی1">[1]Sheet2!$AC$263:$AC$276</definedName>
    <definedName name="وعده">[1]Sheet2!$AX$19:$AX$24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0" i="1" l="1"/>
  <c r="D328" i="1"/>
  <c r="D326" i="1"/>
  <c r="D324" i="1"/>
  <c r="D322" i="1"/>
  <c r="D320" i="1"/>
  <c r="D318" i="1"/>
  <c r="D316" i="1"/>
  <c r="D314" i="1"/>
  <c r="D312" i="1"/>
  <c r="D310" i="1"/>
  <c r="D308" i="1"/>
  <c r="D306" i="1"/>
  <c r="Z331" i="1" l="1"/>
  <c r="T331" i="1"/>
  <c r="R331" i="1"/>
  <c r="AC331" i="1" s="1"/>
  <c r="P331" i="1"/>
  <c r="AB331" i="1" s="1"/>
  <c r="N331" i="1"/>
  <c r="X331" i="1" s="1"/>
  <c r="M331" i="1"/>
  <c r="V331" i="1" s="1"/>
  <c r="T329" i="1"/>
  <c r="R329" i="1"/>
  <c r="AC329" i="1" s="1"/>
  <c r="P329" i="1"/>
  <c r="AB329" i="1" s="1"/>
  <c r="O329" i="1"/>
  <c r="Z329" i="1" s="1"/>
  <c r="N329" i="1"/>
  <c r="X329" i="1" s="1"/>
  <c r="M329" i="1"/>
  <c r="V329" i="1" s="1"/>
  <c r="T327" i="1"/>
  <c r="R327" i="1"/>
  <c r="AC327" i="1" s="1"/>
  <c r="P327" i="1"/>
  <c r="AB327" i="1" s="1"/>
  <c r="O327" i="1"/>
  <c r="Z327" i="1" s="1"/>
  <c r="N327" i="1"/>
  <c r="X327" i="1" s="1"/>
  <c r="M327" i="1"/>
  <c r="V327" i="1" s="1"/>
  <c r="T325" i="1"/>
  <c r="R325" i="1"/>
  <c r="AC325" i="1" s="1"/>
  <c r="P325" i="1"/>
  <c r="O325" i="1"/>
  <c r="Z325" i="1" s="1"/>
  <c r="N325" i="1"/>
  <c r="X325" i="1" s="1"/>
  <c r="M325" i="1"/>
  <c r="V325" i="1" s="1"/>
  <c r="T323" i="1"/>
  <c r="R323" i="1"/>
  <c r="AC323" i="1" s="1"/>
  <c r="P323" i="1"/>
  <c r="E322" i="1" s="1"/>
  <c r="O323" i="1"/>
  <c r="Z323" i="1" s="1"/>
  <c r="N323" i="1"/>
  <c r="X323" i="1" s="1"/>
  <c r="M323" i="1"/>
  <c r="V323" i="1" s="1"/>
  <c r="T321" i="1"/>
  <c r="R321" i="1"/>
  <c r="AC321" i="1" s="1"/>
  <c r="P321" i="1"/>
  <c r="O321" i="1"/>
  <c r="Z321" i="1" s="1"/>
  <c r="N321" i="1"/>
  <c r="X321" i="1" s="1"/>
  <c r="M321" i="1"/>
  <c r="V321" i="1" s="1"/>
  <c r="T319" i="1"/>
  <c r="R319" i="1"/>
  <c r="AC319" i="1" s="1"/>
  <c r="P319" i="1"/>
  <c r="AB319" i="1" s="1"/>
  <c r="O319" i="1"/>
  <c r="Z319" i="1" s="1"/>
  <c r="N319" i="1"/>
  <c r="X319" i="1" s="1"/>
  <c r="M319" i="1"/>
  <c r="V319" i="1" s="1"/>
  <c r="T317" i="1"/>
  <c r="R317" i="1"/>
  <c r="AC317" i="1" s="1"/>
  <c r="P317" i="1"/>
  <c r="AB317" i="1" s="1"/>
  <c r="O317" i="1"/>
  <c r="Z317" i="1" s="1"/>
  <c r="N317" i="1"/>
  <c r="X317" i="1" s="1"/>
  <c r="M317" i="1"/>
  <c r="V317" i="1" s="1"/>
  <c r="T315" i="1"/>
  <c r="R315" i="1"/>
  <c r="AC315" i="1" s="1"/>
  <c r="P315" i="1"/>
  <c r="AB315" i="1" s="1"/>
  <c r="O315" i="1"/>
  <c r="Z315" i="1" s="1"/>
  <c r="N315" i="1"/>
  <c r="X315" i="1" s="1"/>
  <c r="M315" i="1"/>
  <c r="V315" i="1" s="1"/>
  <c r="T313" i="1"/>
  <c r="R313" i="1"/>
  <c r="AC313" i="1" s="1"/>
  <c r="P313" i="1"/>
  <c r="AB313" i="1" s="1"/>
  <c r="O313" i="1"/>
  <c r="Z313" i="1" s="1"/>
  <c r="N313" i="1"/>
  <c r="X313" i="1" s="1"/>
  <c r="M313" i="1"/>
  <c r="V313" i="1" s="1"/>
  <c r="E312" i="1"/>
  <c r="T311" i="1"/>
  <c r="R311" i="1"/>
  <c r="AC311" i="1" s="1"/>
  <c r="P311" i="1"/>
  <c r="AB311" i="1" s="1"/>
  <c r="O311" i="1"/>
  <c r="Z311" i="1" s="1"/>
  <c r="N311" i="1"/>
  <c r="X311" i="1" s="1"/>
  <c r="M311" i="1"/>
  <c r="V311" i="1" s="1"/>
  <c r="E310" i="1"/>
  <c r="T309" i="1"/>
  <c r="R309" i="1"/>
  <c r="AC309" i="1" s="1"/>
  <c r="P309" i="1"/>
  <c r="AB309" i="1" s="1"/>
  <c r="O309" i="1"/>
  <c r="Z309" i="1" s="1"/>
  <c r="N309" i="1"/>
  <c r="X309" i="1" s="1"/>
  <c r="M309" i="1"/>
  <c r="V309" i="1" s="1"/>
  <c r="T307" i="1"/>
  <c r="R307" i="1"/>
  <c r="AC307" i="1" s="1"/>
  <c r="P307" i="1"/>
  <c r="O307" i="1"/>
  <c r="Z307" i="1" s="1"/>
  <c r="N307" i="1"/>
  <c r="X307" i="1" s="1"/>
  <c r="M307" i="1"/>
  <c r="V307" i="1" s="1"/>
  <c r="T305" i="1"/>
  <c r="R305" i="1"/>
  <c r="AC305" i="1" s="1"/>
  <c r="P305" i="1"/>
  <c r="AB305" i="1" s="1"/>
  <c r="O305" i="1"/>
  <c r="Z305" i="1" s="1"/>
  <c r="N305" i="1"/>
  <c r="X305" i="1" s="1"/>
  <c r="M305" i="1"/>
  <c r="V305" i="1" s="1"/>
  <c r="D304" i="1"/>
  <c r="T303" i="1"/>
  <c r="R303" i="1"/>
  <c r="AC303" i="1" s="1"/>
  <c r="P303" i="1"/>
  <c r="E302" i="1" s="1"/>
  <c r="O303" i="1"/>
  <c r="Z303" i="1" s="1"/>
  <c r="N303" i="1"/>
  <c r="X303" i="1" s="1"/>
  <c r="M303" i="1"/>
  <c r="V303" i="1" s="1"/>
  <c r="D302" i="1"/>
  <c r="T301" i="1"/>
  <c r="R301" i="1"/>
  <c r="AC301" i="1" s="1"/>
  <c r="P301" i="1"/>
  <c r="AB301" i="1" s="1"/>
  <c r="O301" i="1"/>
  <c r="Z301" i="1" s="1"/>
  <c r="N301" i="1"/>
  <c r="X301" i="1" s="1"/>
  <c r="M301" i="1"/>
  <c r="V301" i="1" s="1"/>
  <c r="D300" i="1"/>
  <c r="T299" i="1"/>
  <c r="R299" i="1"/>
  <c r="AC299" i="1" s="1"/>
  <c r="P299" i="1"/>
  <c r="O299" i="1"/>
  <c r="Z299" i="1" s="1"/>
  <c r="N299" i="1"/>
  <c r="X299" i="1" s="1"/>
  <c r="M299" i="1"/>
  <c r="V299" i="1" s="1"/>
  <c r="D298" i="1"/>
  <c r="T297" i="1"/>
  <c r="R297" i="1"/>
  <c r="AC297" i="1" s="1"/>
  <c r="P297" i="1"/>
  <c r="AB297" i="1" s="1"/>
  <c r="O297" i="1"/>
  <c r="Z297" i="1" s="1"/>
  <c r="N297" i="1"/>
  <c r="X297" i="1" s="1"/>
  <c r="M297" i="1"/>
  <c r="V297" i="1" s="1"/>
  <c r="E296" i="1"/>
  <c r="D296" i="1"/>
  <c r="T295" i="1"/>
  <c r="R295" i="1"/>
  <c r="AC295" i="1" s="1"/>
  <c r="P295" i="1"/>
  <c r="E294" i="1" s="1"/>
  <c r="O295" i="1"/>
  <c r="Z295" i="1" s="1"/>
  <c r="N295" i="1"/>
  <c r="X295" i="1" s="1"/>
  <c r="M295" i="1"/>
  <c r="V295" i="1" s="1"/>
  <c r="D294" i="1"/>
  <c r="T293" i="1"/>
  <c r="R293" i="1"/>
  <c r="AC293" i="1" s="1"/>
  <c r="P293" i="1"/>
  <c r="AB293" i="1" s="1"/>
  <c r="O293" i="1"/>
  <c r="Z293" i="1" s="1"/>
  <c r="N293" i="1"/>
  <c r="X293" i="1" s="1"/>
  <c r="M293" i="1"/>
  <c r="V293" i="1" s="1"/>
  <c r="D292" i="1"/>
  <c r="Z291" i="1"/>
  <c r="T291" i="1"/>
  <c r="R291" i="1"/>
  <c r="AC291" i="1" s="1"/>
  <c r="P291" i="1"/>
  <c r="AB291" i="1" s="1"/>
  <c r="N291" i="1"/>
  <c r="X291" i="1" s="1"/>
  <c r="M291" i="1"/>
  <c r="V291" i="1" s="1"/>
  <c r="E290" i="1"/>
  <c r="D290" i="1"/>
  <c r="T289" i="1"/>
  <c r="R289" i="1"/>
  <c r="AC289" i="1" s="1"/>
  <c r="P289" i="1"/>
  <c r="E288" i="1" s="1"/>
  <c r="O289" i="1"/>
  <c r="Z289" i="1" s="1"/>
  <c r="N289" i="1"/>
  <c r="X289" i="1" s="1"/>
  <c r="M289" i="1"/>
  <c r="V289" i="1" s="1"/>
  <c r="D288" i="1"/>
  <c r="AC287" i="1"/>
  <c r="T287" i="1"/>
  <c r="R287" i="1"/>
  <c r="P287" i="1"/>
  <c r="AB287" i="1" s="1"/>
  <c r="O287" i="1"/>
  <c r="Z287" i="1" s="1"/>
  <c r="N287" i="1"/>
  <c r="X287" i="1" s="1"/>
  <c r="M287" i="1"/>
  <c r="V287" i="1" s="1"/>
  <c r="E286" i="1"/>
  <c r="D286" i="1"/>
  <c r="AC285" i="1"/>
  <c r="T285" i="1"/>
  <c r="R285" i="1"/>
  <c r="P285" i="1"/>
  <c r="AB285" i="1" s="1"/>
  <c r="O285" i="1"/>
  <c r="Z285" i="1" s="1"/>
  <c r="N285" i="1"/>
  <c r="X285" i="1" s="1"/>
  <c r="M285" i="1"/>
  <c r="V285" i="1" s="1"/>
  <c r="E284" i="1"/>
  <c r="D284" i="1"/>
  <c r="AC283" i="1"/>
  <c r="T283" i="1"/>
  <c r="R283" i="1"/>
  <c r="P283" i="1"/>
  <c r="AB283" i="1" s="1"/>
  <c r="O283" i="1"/>
  <c r="Z283" i="1" s="1"/>
  <c r="N283" i="1"/>
  <c r="X283" i="1" s="1"/>
  <c r="M283" i="1"/>
  <c r="V283" i="1" s="1"/>
  <c r="E282" i="1"/>
  <c r="D282" i="1"/>
  <c r="AC281" i="1"/>
  <c r="T281" i="1"/>
  <c r="R281" i="1"/>
  <c r="P281" i="1"/>
  <c r="AB281" i="1" s="1"/>
  <c r="O281" i="1"/>
  <c r="Z281" i="1" s="1"/>
  <c r="N281" i="1"/>
  <c r="X281" i="1" s="1"/>
  <c r="M281" i="1"/>
  <c r="V281" i="1" s="1"/>
  <c r="E280" i="1"/>
  <c r="D280" i="1"/>
  <c r="AC279" i="1"/>
  <c r="T279" i="1"/>
  <c r="R279" i="1"/>
  <c r="P279" i="1"/>
  <c r="AB279" i="1" s="1"/>
  <c r="O279" i="1"/>
  <c r="Z279" i="1" s="1"/>
  <c r="N279" i="1"/>
  <c r="X279" i="1" s="1"/>
  <c r="M279" i="1"/>
  <c r="V279" i="1" s="1"/>
  <c r="E278" i="1"/>
  <c r="D278" i="1"/>
  <c r="AC277" i="1"/>
  <c r="T277" i="1"/>
  <c r="R277" i="1"/>
  <c r="P277" i="1"/>
  <c r="AB277" i="1" s="1"/>
  <c r="O277" i="1"/>
  <c r="Z277" i="1" s="1"/>
  <c r="N277" i="1"/>
  <c r="X277" i="1" s="1"/>
  <c r="M277" i="1"/>
  <c r="V277" i="1" s="1"/>
  <c r="AD276" i="1" s="1"/>
  <c r="E276" i="1"/>
  <c r="D276" i="1"/>
  <c r="T275" i="1"/>
  <c r="R275" i="1"/>
  <c r="AC275" i="1" s="1"/>
  <c r="P275" i="1"/>
  <c r="AB275" i="1" s="1"/>
  <c r="O275" i="1"/>
  <c r="Z275" i="1" s="1"/>
  <c r="N275" i="1"/>
  <c r="X275" i="1" s="1"/>
  <c r="M275" i="1"/>
  <c r="V275" i="1" s="1"/>
  <c r="D274" i="1"/>
  <c r="T273" i="1"/>
  <c r="R273" i="1"/>
  <c r="AC273" i="1" s="1"/>
  <c r="P273" i="1"/>
  <c r="AB273" i="1" s="1"/>
  <c r="O273" i="1"/>
  <c r="Z273" i="1" s="1"/>
  <c r="N273" i="1"/>
  <c r="X273" i="1" s="1"/>
  <c r="M273" i="1"/>
  <c r="V273" i="1" s="1"/>
  <c r="D272" i="1"/>
  <c r="T271" i="1"/>
  <c r="R271" i="1"/>
  <c r="AC271" i="1" s="1"/>
  <c r="O271" i="1"/>
  <c r="Z271" i="1" s="1"/>
  <c r="M271" i="1"/>
  <c r="V271" i="1" s="1"/>
  <c r="H270" i="1"/>
  <c r="G270" i="1"/>
  <c r="N271" i="1" s="1"/>
  <c r="X271" i="1" s="1"/>
  <c r="D270" i="1"/>
  <c r="Z269" i="1"/>
  <c r="T269" i="1"/>
  <c r="R269" i="1"/>
  <c r="AC269" i="1" s="1"/>
  <c r="P269" i="1"/>
  <c r="AB269" i="1" s="1"/>
  <c r="N269" i="1"/>
  <c r="X269" i="1" s="1"/>
  <c r="M269" i="1"/>
  <c r="V269" i="1" s="1"/>
  <c r="D268" i="1"/>
  <c r="T267" i="1"/>
  <c r="R267" i="1"/>
  <c r="AC267" i="1" s="1"/>
  <c r="P267" i="1"/>
  <c r="E266" i="1" s="1"/>
  <c r="O267" i="1"/>
  <c r="Z267" i="1" s="1"/>
  <c r="N267" i="1"/>
  <c r="X267" i="1" s="1"/>
  <c r="M267" i="1"/>
  <c r="V267" i="1" s="1"/>
  <c r="D266" i="1"/>
  <c r="T265" i="1"/>
  <c r="R265" i="1"/>
  <c r="AC265" i="1" s="1"/>
  <c r="P265" i="1"/>
  <c r="AB265" i="1" s="1"/>
  <c r="O265" i="1"/>
  <c r="Z265" i="1" s="1"/>
  <c r="N265" i="1"/>
  <c r="X265" i="1" s="1"/>
  <c r="M265" i="1"/>
  <c r="V265" i="1" s="1"/>
  <c r="D264" i="1"/>
  <c r="T263" i="1"/>
  <c r="R263" i="1"/>
  <c r="AC263" i="1" s="1"/>
  <c r="P263" i="1"/>
  <c r="E262" i="1" s="1"/>
  <c r="O263" i="1"/>
  <c r="Z263" i="1" s="1"/>
  <c r="N263" i="1"/>
  <c r="X263" i="1" s="1"/>
  <c r="M263" i="1"/>
  <c r="V263" i="1" s="1"/>
  <c r="D262" i="1"/>
  <c r="T261" i="1"/>
  <c r="R261" i="1"/>
  <c r="AC261" i="1" s="1"/>
  <c r="P261" i="1"/>
  <c r="E260" i="1" s="1"/>
  <c r="O261" i="1"/>
  <c r="Z261" i="1" s="1"/>
  <c r="N261" i="1"/>
  <c r="X261" i="1" s="1"/>
  <c r="M261" i="1"/>
  <c r="V261" i="1" s="1"/>
  <c r="D260" i="1"/>
  <c r="Z259" i="1"/>
  <c r="T259" i="1"/>
  <c r="R259" i="1"/>
  <c r="AC259" i="1" s="1"/>
  <c r="P259" i="1"/>
  <c r="AB259" i="1" s="1"/>
  <c r="N259" i="1"/>
  <c r="X259" i="1" s="1"/>
  <c r="M259" i="1"/>
  <c r="V259" i="1" s="1"/>
  <c r="D258" i="1"/>
  <c r="T257" i="1"/>
  <c r="R257" i="1"/>
  <c r="AC257" i="1" s="1"/>
  <c r="P257" i="1"/>
  <c r="AB257" i="1" s="1"/>
  <c r="O257" i="1"/>
  <c r="Z257" i="1" s="1"/>
  <c r="N257" i="1"/>
  <c r="X257" i="1" s="1"/>
  <c r="M257" i="1"/>
  <c r="V257" i="1" s="1"/>
  <c r="D256" i="1"/>
  <c r="T255" i="1"/>
  <c r="R255" i="1"/>
  <c r="AC255" i="1" s="1"/>
  <c r="P255" i="1"/>
  <c r="AB255" i="1" s="1"/>
  <c r="O255" i="1"/>
  <c r="Z255" i="1" s="1"/>
  <c r="N255" i="1"/>
  <c r="X255" i="1" s="1"/>
  <c r="M255" i="1"/>
  <c r="V255" i="1" s="1"/>
  <c r="D254" i="1"/>
  <c r="T253" i="1"/>
  <c r="R253" i="1"/>
  <c r="AC253" i="1" s="1"/>
  <c r="P253" i="1"/>
  <c r="O253" i="1"/>
  <c r="Z253" i="1" s="1"/>
  <c r="N253" i="1"/>
  <c r="X253" i="1" s="1"/>
  <c r="M253" i="1"/>
  <c r="V253" i="1" s="1"/>
  <c r="AD252" i="1" s="1"/>
  <c r="D252" i="1"/>
  <c r="AB251" i="1"/>
  <c r="T251" i="1"/>
  <c r="R251" i="1"/>
  <c r="AC251" i="1" s="1"/>
  <c r="P251" i="1"/>
  <c r="E250" i="1" s="1"/>
  <c r="O251" i="1"/>
  <c r="Z251" i="1" s="1"/>
  <c r="N251" i="1"/>
  <c r="X251" i="1" s="1"/>
  <c r="M251" i="1"/>
  <c r="V251" i="1" s="1"/>
  <c r="D250" i="1"/>
  <c r="T249" i="1"/>
  <c r="R249" i="1"/>
  <c r="AC249" i="1" s="1"/>
  <c r="P249" i="1"/>
  <c r="O249" i="1"/>
  <c r="Z249" i="1" s="1"/>
  <c r="N249" i="1"/>
  <c r="X249" i="1" s="1"/>
  <c r="AE248" i="1" s="1"/>
  <c r="M249" i="1"/>
  <c r="V249" i="1" s="1"/>
  <c r="D248" i="1"/>
  <c r="T247" i="1"/>
  <c r="R247" i="1"/>
  <c r="AC247" i="1" s="1"/>
  <c r="P247" i="1"/>
  <c r="O247" i="1"/>
  <c r="Z247" i="1" s="1"/>
  <c r="N247" i="1"/>
  <c r="X247" i="1" s="1"/>
  <c r="M247" i="1"/>
  <c r="V247" i="1" s="1"/>
  <c r="D246" i="1"/>
  <c r="T245" i="1"/>
  <c r="R245" i="1"/>
  <c r="AC245" i="1" s="1"/>
  <c r="P245" i="1"/>
  <c r="E244" i="1" s="1"/>
  <c r="O245" i="1"/>
  <c r="Z245" i="1" s="1"/>
  <c r="N245" i="1"/>
  <c r="X245" i="1" s="1"/>
  <c r="M245" i="1"/>
  <c r="V245" i="1" s="1"/>
  <c r="D244" i="1"/>
  <c r="T243" i="1"/>
  <c r="R243" i="1"/>
  <c r="AC243" i="1" s="1"/>
  <c r="P243" i="1"/>
  <c r="O243" i="1"/>
  <c r="Z243" i="1" s="1"/>
  <c r="N243" i="1"/>
  <c r="X243" i="1" s="1"/>
  <c r="M243" i="1"/>
  <c r="V243" i="1" s="1"/>
  <c r="D242" i="1"/>
  <c r="T241" i="1"/>
  <c r="R241" i="1"/>
  <c r="AC241" i="1" s="1"/>
  <c r="P241" i="1"/>
  <c r="E240" i="1" s="1"/>
  <c r="O241" i="1"/>
  <c r="Z241" i="1" s="1"/>
  <c r="N241" i="1"/>
  <c r="X241" i="1" s="1"/>
  <c r="M241" i="1"/>
  <c r="V241" i="1" s="1"/>
  <c r="D240" i="1"/>
  <c r="T239" i="1"/>
  <c r="R239" i="1"/>
  <c r="AC239" i="1" s="1"/>
  <c r="P239" i="1"/>
  <c r="E238" i="1" s="1"/>
  <c r="O239" i="1"/>
  <c r="Z239" i="1" s="1"/>
  <c r="N239" i="1"/>
  <c r="X239" i="1" s="1"/>
  <c r="M239" i="1"/>
  <c r="V239" i="1" s="1"/>
  <c r="D238" i="1"/>
  <c r="T237" i="1"/>
  <c r="R237" i="1"/>
  <c r="AC237" i="1" s="1"/>
  <c r="P237" i="1"/>
  <c r="E236" i="1" s="1"/>
  <c r="O237" i="1"/>
  <c r="Z237" i="1" s="1"/>
  <c r="N237" i="1"/>
  <c r="X237" i="1" s="1"/>
  <c r="M237" i="1"/>
  <c r="V237" i="1" s="1"/>
  <c r="D236" i="1"/>
  <c r="T235" i="1"/>
  <c r="R235" i="1"/>
  <c r="AC235" i="1" s="1"/>
  <c r="I234" i="1"/>
  <c r="H234" i="1"/>
  <c r="G234" i="1"/>
  <c r="F234" i="1"/>
  <c r="D234" i="1"/>
  <c r="T233" i="1"/>
  <c r="R233" i="1"/>
  <c r="AC233" i="1" s="1"/>
  <c r="H232" i="1"/>
  <c r="G232" i="1"/>
  <c r="F232" i="1"/>
  <c r="D232" i="1"/>
  <c r="T231" i="1"/>
  <c r="R231" i="1"/>
  <c r="AC231" i="1" s="1"/>
  <c r="H230" i="1"/>
  <c r="G230" i="1"/>
  <c r="F230" i="1"/>
  <c r="E230" i="1"/>
  <c r="O231" i="1" s="1"/>
  <c r="Z231" i="1" s="1"/>
  <c r="D230" i="1"/>
  <c r="Z229" i="1"/>
  <c r="T229" i="1"/>
  <c r="R229" i="1"/>
  <c r="AC229" i="1" s="1"/>
  <c r="M229" i="1"/>
  <c r="V229" i="1" s="1"/>
  <c r="F228" i="1"/>
  <c r="E228" i="1"/>
  <c r="D228" i="1"/>
  <c r="T227" i="1"/>
  <c r="R227" i="1"/>
  <c r="AC227" i="1" s="1"/>
  <c r="O227" i="1"/>
  <c r="Z227" i="1" s="1"/>
  <c r="N227" i="1"/>
  <c r="X227" i="1" s="1"/>
  <c r="K226" i="1"/>
  <c r="J226" i="1"/>
  <c r="I226" i="1"/>
  <c r="H226" i="1"/>
  <c r="G226" i="1"/>
  <c r="F226" i="1"/>
  <c r="E226" i="1"/>
  <c r="P227" i="1" s="1"/>
  <c r="AB227" i="1" s="1"/>
  <c r="D226" i="1"/>
  <c r="Z225" i="1"/>
  <c r="T225" i="1"/>
  <c r="R225" i="1"/>
  <c r="AC225" i="1" s="1"/>
  <c r="I224" i="1"/>
  <c r="H224" i="1"/>
  <c r="G224" i="1"/>
  <c r="F224" i="1"/>
  <c r="E224" i="1"/>
  <c r="P225" i="1" s="1"/>
  <c r="AB225" i="1" s="1"/>
  <c r="D224" i="1"/>
  <c r="T223" i="1"/>
  <c r="R223" i="1"/>
  <c r="AC223" i="1" s="1"/>
  <c r="L222" i="1"/>
  <c r="K222" i="1"/>
  <c r="J222" i="1"/>
  <c r="I222" i="1"/>
  <c r="H222" i="1"/>
  <c r="G222" i="1"/>
  <c r="F222" i="1"/>
  <c r="E222" i="1"/>
  <c r="P223" i="1" s="1"/>
  <c r="AB223" i="1" s="1"/>
  <c r="D222" i="1"/>
  <c r="T221" i="1"/>
  <c r="R221" i="1"/>
  <c r="AC221" i="1" s="1"/>
  <c r="J220" i="1"/>
  <c r="I220" i="1"/>
  <c r="H220" i="1"/>
  <c r="G220" i="1"/>
  <c r="O221" i="1" s="1"/>
  <c r="Z221" i="1" s="1"/>
  <c r="F220" i="1"/>
  <c r="E220" i="1"/>
  <c r="D220" i="1"/>
  <c r="Z219" i="1"/>
  <c r="V219" i="1"/>
  <c r="T219" i="1"/>
  <c r="R219" i="1"/>
  <c r="AC219" i="1" s="1"/>
  <c r="P219" i="1"/>
  <c r="AB219" i="1" s="1"/>
  <c r="N219" i="1"/>
  <c r="X219" i="1" s="1"/>
  <c r="M219" i="1"/>
  <c r="D218" i="1"/>
  <c r="Z217" i="1"/>
  <c r="T217" i="1"/>
  <c r="R217" i="1"/>
  <c r="P217" i="1"/>
  <c r="N217" i="1"/>
  <c r="X217" i="1" s="1"/>
  <c r="M217" i="1"/>
  <c r="V217" i="1" s="1"/>
  <c r="D216" i="1"/>
  <c r="Z215" i="1"/>
  <c r="T215" i="1"/>
  <c r="R215" i="1"/>
  <c r="AF214" i="1" s="1"/>
  <c r="P215" i="1"/>
  <c r="N215" i="1"/>
  <c r="X215" i="1" s="1"/>
  <c r="M215" i="1"/>
  <c r="V215" i="1" s="1"/>
  <c r="D214" i="1"/>
  <c r="AB213" i="1"/>
  <c r="T213" i="1"/>
  <c r="R213" i="1"/>
  <c r="AE212" i="1" s="1"/>
  <c r="P213" i="1"/>
  <c r="O213" i="1"/>
  <c r="Z213" i="1" s="1"/>
  <c r="N213" i="1"/>
  <c r="X213" i="1" s="1"/>
  <c r="M213" i="1"/>
  <c r="V213" i="1" s="1"/>
  <c r="E212" i="1"/>
  <c r="D212" i="1"/>
  <c r="T211" i="1"/>
  <c r="R211" i="1"/>
  <c r="AC211" i="1" s="1"/>
  <c r="P211" i="1"/>
  <c r="AB211" i="1" s="1"/>
  <c r="O211" i="1"/>
  <c r="Z211" i="1" s="1"/>
  <c r="N211" i="1"/>
  <c r="X211" i="1" s="1"/>
  <c r="M211" i="1"/>
  <c r="V211" i="1" s="1"/>
  <c r="E210" i="1"/>
  <c r="D210" i="1"/>
  <c r="T209" i="1"/>
  <c r="R209" i="1"/>
  <c r="AC209" i="1" s="1"/>
  <c r="P209" i="1"/>
  <c r="AB209" i="1" s="1"/>
  <c r="O209" i="1"/>
  <c r="Z209" i="1" s="1"/>
  <c r="N209" i="1"/>
  <c r="X209" i="1" s="1"/>
  <c r="M209" i="1"/>
  <c r="V209" i="1" s="1"/>
  <c r="E208" i="1"/>
  <c r="D208" i="1"/>
  <c r="T207" i="1"/>
  <c r="R207" i="1"/>
  <c r="AC207" i="1" s="1"/>
  <c r="P207" i="1"/>
  <c r="AB207" i="1" s="1"/>
  <c r="O207" i="1"/>
  <c r="Z207" i="1" s="1"/>
  <c r="N207" i="1"/>
  <c r="X207" i="1" s="1"/>
  <c r="M207" i="1"/>
  <c r="V207" i="1" s="1"/>
  <c r="E206" i="1"/>
  <c r="D206" i="1"/>
  <c r="T205" i="1"/>
  <c r="R205" i="1"/>
  <c r="AC205" i="1" s="1"/>
  <c r="P205" i="1"/>
  <c r="AB205" i="1" s="1"/>
  <c r="O205" i="1"/>
  <c r="Z205" i="1" s="1"/>
  <c r="N205" i="1"/>
  <c r="X205" i="1" s="1"/>
  <c r="M205" i="1"/>
  <c r="V205" i="1" s="1"/>
  <c r="E204" i="1"/>
  <c r="D204" i="1"/>
  <c r="T203" i="1"/>
  <c r="R203" i="1"/>
  <c r="AC203" i="1" s="1"/>
  <c r="P203" i="1"/>
  <c r="AB203" i="1" s="1"/>
  <c r="O203" i="1"/>
  <c r="Z203" i="1" s="1"/>
  <c r="N203" i="1"/>
  <c r="X203" i="1" s="1"/>
  <c r="M203" i="1"/>
  <c r="V203" i="1" s="1"/>
  <c r="D202" i="1"/>
  <c r="T201" i="1"/>
  <c r="R201" i="1"/>
  <c r="AC201" i="1" s="1"/>
  <c r="P201" i="1"/>
  <c r="AB201" i="1" s="1"/>
  <c r="O201" i="1"/>
  <c r="Z201" i="1" s="1"/>
  <c r="N201" i="1"/>
  <c r="X201" i="1" s="1"/>
  <c r="M201" i="1"/>
  <c r="V201" i="1" s="1"/>
  <c r="F200" i="1"/>
  <c r="E200" i="1"/>
  <c r="D200" i="1"/>
  <c r="T199" i="1"/>
  <c r="R199" i="1"/>
  <c r="AC199" i="1" s="1"/>
  <c r="P199" i="1"/>
  <c r="E198" i="1" s="1"/>
  <c r="G198" i="1"/>
  <c r="O199" i="1" s="1"/>
  <c r="Z199" i="1" s="1"/>
  <c r="F198" i="1"/>
  <c r="M199" i="1" s="1"/>
  <c r="V199" i="1" s="1"/>
  <c r="D198" i="1"/>
  <c r="Z197" i="1"/>
  <c r="T197" i="1"/>
  <c r="R197" i="1"/>
  <c r="AC197" i="1" s="1"/>
  <c r="P197" i="1"/>
  <c r="AB197" i="1" s="1"/>
  <c r="N197" i="1"/>
  <c r="X197" i="1" s="1"/>
  <c r="M197" i="1"/>
  <c r="V197" i="1" s="1"/>
  <c r="D196" i="1"/>
  <c r="T195" i="1"/>
  <c r="R195" i="1"/>
  <c r="AC195" i="1" s="1"/>
  <c r="P195" i="1"/>
  <c r="O195" i="1"/>
  <c r="Z195" i="1" s="1"/>
  <c r="N195" i="1"/>
  <c r="X195" i="1" s="1"/>
  <c r="M195" i="1"/>
  <c r="V195" i="1" s="1"/>
  <c r="F194" i="1"/>
  <c r="D194" i="1"/>
  <c r="T193" i="1"/>
  <c r="R193" i="1"/>
  <c r="AC193" i="1" s="1"/>
  <c r="G192" i="1"/>
  <c r="F192" i="1"/>
  <c r="N193" i="1" s="1"/>
  <c r="X193" i="1" s="1"/>
  <c r="D192" i="1"/>
  <c r="T191" i="1"/>
  <c r="R191" i="1"/>
  <c r="AC191" i="1" s="1"/>
  <c r="H190" i="1"/>
  <c r="O191" i="1" s="1"/>
  <c r="Z191" i="1" s="1"/>
  <c r="G190" i="1"/>
  <c r="N191" i="1" s="1"/>
  <c r="X191" i="1" s="1"/>
  <c r="F190" i="1"/>
  <c r="D190" i="1"/>
  <c r="T189" i="1"/>
  <c r="R189" i="1"/>
  <c r="AC189" i="1" s="1"/>
  <c r="H188" i="1"/>
  <c r="O189" i="1" s="1"/>
  <c r="Z189" i="1" s="1"/>
  <c r="G188" i="1"/>
  <c r="F188" i="1"/>
  <c r="M189" i="1" s="1"/>
  <c r="V189" i="1" s="1"/>
  <c r="D188" i="1"/>
  <c r="T187" i="1"/>
  <c r="R187" i="1"/>
  <c r="AC187" i="1" s="1"/>
  <c r="J186" i="1"/>
  <c r="I186" i="1"/>
  <c r="H186" i="1"/>
  <c r="G186" i="1"/>
  <c r="F186" i="1"/>
  <c r="D186" i="1"/>
  <c r="T185" i="1"/>
  <c r="R185" i="1"/>
  <c r="AC185" i="1" s="1"/>
  <c r="J184" i="1"/>
  <c r="I184" i="1"/>
  <c r="H184" i="1"/>
  <c r="G184" i="1"/>
  <c r="F184" i="1"/>
  <c r="D184" i="1"/>
  <c r="T183" i="1"/>
  <c r="R183" i="1"/>
  <c r="AC183" i="1" s="1"/>
  <c r="I182" i="1"/>
  <c r="H182" i="1"/>
  <c r="G182" i="1"/>
  <c r="F182" i="1"/>
  <c r="D182" i="1"/>
  <c r="T181" i="1"/>
  <c r="R181" i="1"/>
  <c r="AC181" i="1" s="1"/>
  <c r="I180" i="1"/>
  <c r="H180" i="1"/>
  <c r="G180" i="1"/>
  <c r="O181" i="1" s="1"/>
  <c r="Z181" i="1" s="1"/>
  <c r="F180" i="1"/>
  <c r="D180" i="1"/>
  <c r="T179" i="1"/>
  <c r="R179" i="1"/>
  <c r="AC179" i="1" s="1"/>
  <c r="I178" i="1"/>
  <c r="H178" i="1"/>
  <c r="G178" i="1"/>
  <c r="O179" i="1" s="1"/>
  <c r="Z179" i="1" s="1"/>
  <c r="F178" i="1"/>
  <c r="D178" i="1"/>
  <c r="T177" i="1"/>
  <c r="R177" i="1"/>
  <c r="AC177" i="1" s="1"/>
  <c r="I176" i="1"/>
  <c r="H176" i="1"/>
  <c r="G176" i="1"/>
  <c r="O177" i="1" s="1"/>
  <c r="Z177" i="1" s="1"/>
  <c r="F176" i="1"/>
  <c r="D176" i="1"/>
  <c r="T175" i="1"/>
  <c r="R175" i="1"/>
  <c r="AC175" i="1" s="1"/>
  <c r="I174" i="1"/>
  <c r="H174" i="1"/>
  <c r="G174" i="1"/>
  <c r="O175" i="1" s="1"/>
  <c r="Z175" i="1" s="1"/>
  <c r="F174" i="1"/>
  <c r="D174" i="1"/>
  <c r="T173" i="1"/>
  <c r="R173" i="1"/>
  <c r="AC173" i="1" s="1"/>
  <c r="H172" i="1"/>
  <c r="O173" i="1" s="1"/>
  <c r="Z173" i="1" s="1"/>
  <c r="G172" i="1"/>
  <c r="F172" i="1"/>
  <c r="D172" i="1"/>
  <c r="T171" i="1"/>
  <c r="R171" i="1"/>
  <c r="AC171" i="1" s="1"/>
  <c r="O171" i="1"/>
  <c r="Z171" i="1" s="1"/>
  <c r="H170" i="1"/>
  <c r="G170" i="1"/>
  <c r="F170" i="1"/>
  <c r="N171" i="1" s="1"/>
  <c r="X171" i="1" s="1"/>
  <c r="D170" i="1"/>
  <c r="T169" i="1"/>
  <c r="R169" i="1"/>
  <c r="AC169" i="1" s="1"/>
  <c r="J168" i="1"/>
  <c r="I168" i="1"/>
  <c r="H168" i="1"/>
  <c r="G168" i="1"/>
  <c r="F168" i="1"/>
  <c r="D168" i="1"/>
  <c r="T167" i="1"/>
  <c r="R167" i="1"/>
  <c r="AC167" i="1" s="1"/>
  <c r="I166" i="1"/>
  <c r="H166" i="1"/>
  <c r="G166" i="1"/>
  <c r="F166" i="1"/>
  <c r="D166" i="1"/>
  <c r="T165" i="1"/>
  <c r="R165" i="1"/>
  <c r="AC165" i="1" s="1"/>
  <c r="I164" i="1"/>
  <c r="H164" i="1"/>
  <c r="G164" i="1"/>
  <c r="F164" i="1"/>
  <c r="D164" i="1"/>
  <c r="T163" i="1"/>
  <c r="R163" i="1"/>
  <c r="AC163" i="1" s="1"/>
  <c r="G162" i="1"/>
  <c r="F162" i="1"/>
  <c r="D162" i="1"/>
  <c r="T161" i="1"/>
  <c r="R161" i="1"/>
  <c r="AC161" i="1" s="1"/>
  <c r="H160" i="1"/>
  <c r="G160" i="1"/>
  <c r="F160" i="1"/>
  <c r="D160" i="1"/>
  <c r="T159" i="1"/>
  <c r="R159" i="1"/>
  <c r="AC159" i="1" s="1"/>
  <c r="H158" i="1"/>
  <c r="G158" i="1"/>
  <c r="M159" i="1" s="1"/>
  <c r="V159" i="1" s="1"/>
  <c r="F158" i="1"/>
  <c r="N159" i="1" s="1"/>
  <c r="X159" i="1" s="1"/>
  <c r="D158" i="1"/>
  <c r="T157" i="1"/>
  <c r="R157" i="1"/>
  <c r="AC157" i="1" s="1"/>
  <c r="I156" i="1"/>
  <c r="H156" i="1"/>
  <c r="G156" i="1"/>
  <c r="F156" i="1"/>
  <c r="O157" i="1" s="1"/>
  <c r="Z157" i="1" s="1"/>
  <c r="D156" i="1"/>
  <c r="T155" i="1"/>
  <c r="R155" i="1"/>
  <c r="AC155" i="1" s="1"/>
  <c r="J154" i="1"/>
  <c r="I154" i="1"/>
  <c r="H154" i="1"/>
  <c r="G154" i="1"/>
  <c r="F154" i="1"/>
  <c r="D154" i="1"/>
  <c r="T153" i="1"/>
  <c r="R153" i="1"/>
  <c r="AC153" i="1" s="1"/>
  <c r="O153" i="1"/>
  <c r="Z153" i="1" s="1"/>
  <c r="H152" i="1"/>
  <c r="G152" i="1"/>
  <c r="F152" i="1"/>
  <c r="M153" i="1" s="1"/>
  <c r="V153" i="1" s="1"/>
  <c r="D152" i="1"/>
  <c r="T151" i="1"/>
  <c r="R151" i="1"/>
  <c r="AC151" i="1" s="1"/>
  <c r="I150" i="1"/>
  <c r="H150" i="1"/>
  <c r="G150" i="1"/>
  <c r="F150" i="1"/>
  <c r="D150" i="1"/>
  <c r="T149" i="1"/>
  <c r="R149" i="1"/>
  <c r="AC149" i="1" s="1"/>
  <c r="H148" i="1"/>
  <c r="G148" i="1"/>
  <c r="O149" i="1" s="1"/>
  <c r="Z149" i="1" s="1"/>
  <c r="F148" i="1"/>
  <c r="D148" i="1"/>
  <c r="T147" i="1"/>
  <c r="R147" i="1"/>
  <c r="AC147" i="1" s="1"/>
  <c r="G146" i="1"/>
  <c r="O147" i="1" s="1"/>
  <c r="Z147" i="1" s="1"/>
  <c r="F146" i="1"/>
  <c r="D146" i="1"/>
  <c r="T145" i="1"/>
  <c r="R145" i="1"/>
  <c r="AC145" i="1" s="1"/>
  <c r="G144" i="1"/>
  <c r="O145" i="1" s="1"/>
  <c r="Z145" i="1" s="1"/>
  <c r="F144" i="1"/>
  <c r="E144" i="1"/>
  <c r="D144" i="1"/>
  <c r="T143" i="1"/>
  <c r="R143" i="1"/>
  <c r="AC143" i="1" s="1"/>
  <c r="J142" i="1"/>
  <c r="I142" i="1"/>
  <c r="H142" i="1"/>
  <c r="G142" i="1"/>
  <c r="F142" i="1"/>
  <c r="D142" i="1"/>
  <c r="T141" i="1"/>
  <c r="R141" i="1"/>
  <c r="AC141" i="1" s="1"/>
  <c r="J140" i="1"/>
  <c r="I140" i="1"/>
  <c r="H140" i="1"/>
  <c r="G140" i="1"/>
  <c r="F140" i="1"/>
  <c r="D140" i="1"/>
  <c r="X139" i="1"/>
  <c r="T139" i="1"/>
  <c r="R139" i="1"/>
  <c r="AC139" i="1" s="1"/>
  <c r="P139" i="1"/>
  <c r="AB139" i="1" s="1"/>
  <c r="F138" i="1"/>
  <c r="O139" i="1" s="1"/>
  <c r="Z139" i="1" s="1"/>
  <c r="E138" i="1"/>
  <c r="D138" i="1"/>
  <c r="Z137" i="1"/>
  <c r="X137" i="1"/>
  <c r="T137" i="1"/>
  <c r="R137" i="1"/>
  <c r="AC137" i="1" s="1"/>
  <c r="P137" i="1"/>
  <c r="AB137" i="1" s="1"/>
  <c r="F136" i="1"/>
  <c r="M137" i="1" s="1"/>
  <c r="V137" i="1" s="1"/>
  <c r="E136" i="1"/>
  <c r="D136" i="1"/>
  <c r="AB135" i="1"/>
  <c r="Z135" i="1"/>
  <c r="X135" i="1"/>
  <c r="V135" i="1"/>
  <c r="T135" i="1"/>
  <c r="R135" i="1"/>
  <c r="AC135" i="1" s="1"/>
  <c r="AF134" i="1" s="1"/>
  <c r="F134" i="1"/>
  <c r="E134" i="1"/>
  <c r="D134" i="1"/>
  <c r="X133" i="1"/>
  <c r="T133" i="1"/>
  <c r="R133" i="1"/>
  <c r="AC133" i="1" s="1"/>
  <c r="P133" i="1"/>
  <c r="AB133" i="1" s="1"/>
  <c r="F132" i="1"/>
  <c r="D132" i="1"/>
  <c r="X131" i="1"/>
  <c r="T131" i="1"/>
  <c r="R131" i="1"/>
  <c r="AC131" i="1" s="1"/>
  <c r="G130" i="1"/>
  <c r="F130" i="1"/>
  <c r="O131" i="1" s="1"/>
  <c r="Z131" i="1" s="1"/>
  <c r="D130" i="1"/>
  <c r="X129" i="1"/>
  <c r="T129" i="1"/>
  <c r="R129" i="1"/>
  <c r="AC129" i="1" s="1"/>
  <c r="F128" i="1"/>
  <c r="M129" i="1" s="1"/>
  <c r="V129" i="1" s="1"/>
  <c r="D128" i="1"/>
  <c r="T127" i="1"/>
  <c r="R127" i="1"/>
  <c r="AC127" i="1" s="1"/>
  <c r="P127" i="1"/>
  <c r="AB127" i="1" s="1"/>
  <c r="O127" i="1"/>
  <c r="Z127" i="1" s="1"/>
  <c r="N127" i="1"/>
  <c r="X127" i="1" s="1"/>
  <c r="M127" i="1"/>
  <c r="V127" i="1" s="1"/>
  <c r="G126" i="1"/>
  <c r="F126" i="1"/>
  <c r="E126" i="1"/>
  <c r="D126" i="1"/>
  <c r="T125" i="1"/>
  <c r="R125" i="1"/>
  <c r="AC125" i="1" s="1"/>
  <c r="I124" i="1"/>
  <c r="H124" i="1"/>
  <c r="G124" i="1"/>
  <c r="F124" i="1"/>
  <c r="D124" i="1"/>
  <c r="T123" i="1"/>
  <c r="R123" i="1"/>
  <c r="AC123" i="1" s="1"/>
  <c r="J122" i="1"/>
  <c r="I122" i="1"/>
  <c r="H122" i="1"/>
  <c r="G122" i="1"/>
  <c r="N123" i="1" s="1"/>
  <c r="X123" i="1" s="1"/>
  <c r="F122" i="1"/>
  <c r="D122" i="1"/>
  <c r="T121" i="1"/>
  <c r="R121" i="1"/>
  <c r="AC121" i="1" s="1"/>
  <c r="J120" i="1"/>
  <c r="I120" i="1"/>
  <c r="H120" i="1"/>
  <c r="G120" i="1"/>
  <c r="F120" i="1"/>
  <c r="D120" i="1"/>
  <c r="T119" i="1"/>
  <c r="R119" i="1"/>
  <c r="AC119" i="1" s="1"/>
  <c r="I118" i="1"/>
  <c r="H118" i="1"/>
  <c r="G118" i="1"/>
  <c r="F118" i="1"/>
  <c r="D118" i="1"/>
  <c r="T117" i="1"/>
  <c r="R117" i="1"/>
  <c r="AC117" i="1" s="1"/>
  <c r="J116" i="1"/>
  <c r="I116" i="1"/>
  <c r="H116" i="1"/>
  <c r="G116" i="1"/>
  <c r="F116" i="1"/>
  <c r="D116" i="1"/>
  <c r="T115" i="1"/>
  <c r="R115" i="1"/>
  <c r="AC115" i="1" s="1"/>
  <c r="I114" i="1"/>
  <c r="N115" i="1" s="1"/>
  <c r="X115" i="1" s="1"/>
  <c r="H114" i="1"/>
  <c r="G114" i="1"/>
  <c r="F114" i="1"/>
  <c r="D114" i="1"/>
  <c r="X113" i="1"/>
  <c r="T113" i="1"/>
  <c r="R113" i="1"/>
  <c r="AC113" i="1" s="1"/>
  <c r="AE112" i="1" s="1"/>
  <c r="H112" i="1"/>
  <c r="G112" i="1"/>
  <c r="F112" i="1"/>
  <c r="D112" i="1"/>
  <c r="T111" i="1"/>
  <c r="R111" i="1"/>
  <c r="AC111" i="1" s="1"/>
  <c r="H110" i="1"/>
  <c r="G110" i="1"/>
  <c r="M111" i="1" s="1"/>
  <c r="V111" i="1" s="1"/>
  <c r="F110" i="1"/>
  <c r="N111" i="1" s="1"/>
  <c r="X111" i="1" s="1"/>
  <c r="D110" i="1"/>
  <c r="T109" i="1"/>
  <c r="R109" i="1"/>
  <c r="AC109" i="1" s="1"/>
  <c r="H108" i="1"/>
  <c r="G108" i="1"/>
  <c r="F108" i="1"/>
  <c r="N109" i="1" s="1"/>
  <c r="X109" i="1" s="1"/>
  <c r="D108" i="1"/>
  <c r="T107" i="1"/>
  <c r="R107" i="1"/>
  <c r="AC107" i="1" s="1"/>
  <c r="H106" i="1"/>
  <c r="G106" i="1"/>
  <c r="F106" i="1"/>
  <c r="N107" i="1" s="1"/>
  <c r="X107" i="1" s="1"/>
  <c r="D106" i="1"/>
  <c r="X105" i="1"/>
  <c r="T105" i="1"/>
  <c r="R105" i="1"/>
  <c r="AC105" i="1" s="1"/>
  <c r="F104" i="1"/>
  <c r="M105" i="1" s="1"/>
  <c r="V105" i="1" s="1"/>
  <c r="E104" i="1"/>
  <c r="D104" i="1"/>
  <c r="X103" i="1"/>
  <c r="T103" i="1"/>
  <c r="R103" i="1"/>
  <c r="AC103" i="1" s="1"/>
  <c r="F102" i="1"/>
  <c r="E102" i="1"/>
  <c r="D102" i="1"/>
  <c r="T101" i="1"/>
  <c r="R101" i="1"/>
  <c r="AC101" i="1" s="1"/>
  <c r="H100" i="1"/>
  <c r="G100" i="1"/>
  <c r="N101" i="1" s="1"/>
  <c r="X101" i="1" s="1"/>
  <c r="F100" i="1"/>
  <c r="E100" i="1"/>
  <c r="D100" i="1"/>
  <c r="T99" i="1"/>
  <c r="R99" i="1"/>
  <c r="AC99" i="1" s="1"/>
  <c r="G98" i="1"/>
  <c r="N99" i="1" s="1"/>
  <c r="X99" i="1" s="1"/>
  <c r="F98" i="1"/>
  <c r="E98" i="1"/>
  <c r="D98" i="1"/>
  <c r="T97" i="1"/>
  <c r="R97" i="1"/>
  <c r="AC97" i="1" s="1"/>
  <c r="G96" i="1"/>
  <c r="F96" i="1"/>
  <c r="O97" i="1" s="1"/>
  <c r="Z97" i="1" s="1"/>
  <c r="E96" i="1"/>
  <c r="D96" i="1"/>
  <c r="T95" i="1"/>
  <c r="R95" i="1"/>
  <c r="AC95" i="1" s="1"/>
  <c r="I94" i="1"/>
  <c r="H94" i="1"/>
  <c r="G94" i="1"/>
  <c r="F94" i="1"/>
  <c r="E94" i="1"/>
  <c r="D94" i="1"/>
  <c r="T93" i="1"/>
  <c r="R93" i="1"/>
  <c r="AC93" i="1" s="1"/>
  <c r="I92" i="1"/>
  <c r="H92" i="1"/>
  <c r="G92" i="1"/>
  <c r="F92" i="1"/>
  <c r="E92" i="1"/>
  <c r="D92" i="1"/>
  <c r="T91" i="1"/>
  <c r="R91" i="1"/>
  <c r="AC91" i="1" s="1"/>
  <c r="J90" i="1"/>
  <c r="H90" i="1"/>
  <c r="G90" i="1"/>
  <c r="F90" i="1"/>
  <c r="O91" i="1" s="1"/>
  <c r="Z91" i="1" s="1"/>
  <c r="E90" i="1"/>
  <c r="D90" i="1"/>
  <c r="T89" i="1"/>
  <c r="R89" i="1"/>
  <c r="AC89" i="1" s="1"/>
  <c r="H88" i="1"/>
  <c r="N89" i="1" s="1"/>
  <c r="X89" i="1" s="1"/>
  <c r="G88" i="1"/>
  <c r="F88" i="1"/>
  <c r="E88" i="1"/>
  <c r="D88" i="1"/>
  <c r="T87" i="1"/>
  <c r="R87" i="1"/>
  <c r="AC87" i="1" s="1"/>
  <c r="H86" i="1"/>
  <c r="G86" i="1"/>
  <c r="F86" i="1"/>
  <c r="O87" i="1" s="1"/>
  <c r="Z87" i="1" s="1"/>
  <c r="E86" i="1"/>
  <c r="D86" i="1"/>
  <c r="T85" i="1"/>
  <c r="R85" i="1"/>
  <c r="AC85" i="1" s="1"/>
  <c r="H84" i="1"/>
  <c r="G84" i="1"/>
  <c r="F84" i="1"/>
  <c r="M85" i="1" s="1"/>
  <c r="V85" i="1" s="1"/>
  <c r="D84" i="1"/>
  <c r="T83" i="1"/>
  <c r="R83" i="1"/>
  <c r="AC83" i="1" s="1"/>
  <c r="H82" i="1"/>
  <c r="G82" i="1"/>
  <c r="F82" i="1"/>
  <c r="M83" i="1" s="1"/>
  <c r="V83" i="1" s="1"/>
  <c r="D82" i="1"/>
  <c r="T81" i="1"/>
  <c r="R81" i="1"/>
  <c r="AC81" i="1" s="1"/>
  <c r="G80" i="1"/>
  <c r="N81" i="1" s="1"/>
  <c r="X81" i="1" s="1"/>
  <c r="F80" i="1"/>
  <c r="M81" i="1" s="1"/>
  <c r="V81" i="1" s="1"/>
  <c r="E80" i="1"/>
  <c r="D80" i="1"/>
  <c r="T79" i="1"/>
  <c r="R79" i="1"/>
  <c r="AC79" i="1" s="1"/>
  <c r="H78" i="1"/>
  <c r="G78" i="1"/>
  <c r="F78" i="1"/>
  <c r="M79" i="1" s="1"/>
  <c r="V79" i="1" s="1"/>
  <c r="E78" i="1"/>
  <c r="D78" i="1"/>
  <c r="T77" i="1"/>
  <c r="R77" i="1"/>
  <c r="AC77" i="1" s="1"/>
  <c r="I76" i="1"/>
  <c r="H76" i="1"/>
  <c r="O77" i="1" s="1"/>
  <c r="Z77" i="1" s="1"/>
  <c r="G76" i="1"/>
  <c r="F76" i="1"/>
  <c r="E76" i="1"/>
  <c r="D76" i="1"/>
  <c r="T75" i="1"/>
  <c r="R75" i="1"/>
  <c r="AC75" i="1" s="1"/>
  <c r="H74" i="1"/>
  <c r="O75" i="1" s="1"/>
  <c r="Z75" i="1" s="1"/>
  <c r="G74" i="1"/>
  <c r="F74" i="1"/>
  <c r="E74" i="1"/>
  <c r="D74" i="1"/>
  <c r="T73" i="1"/>
  <c r="R73" i="1"/>
  <c r="AC73" i="1" s="1"/>
  <c r="H72" i="1"/>
  <c r="O73" i="1" s="1"/>
  <c r="Z73" i="1" s="1"/>
  <c r="G72" i="1"/>
  <c r="F72" i="1"/>
  <c r="E72" i="1"/>
  <c r="D72" i="1"/>
  <c r="T71" i="1"/>
  <c r="R71" i="1"/>
  <c r="AC71" i="1" s="1"/>
  <c r="H70" i="1"/>
  <c r="G70" i="1"/>
  <c r="F70" i="1"/>
  <c r="E70" i="1"/>
  <c r="D70" i="1"/>
  <c r="T69" i="1"/>
  <c r="R69" i="1"/>
  <c r="AC69" i="1" s="1"/>
  <c r="H68" i="1"/>
  <c r="O69" i="1" s="1"/>
  <c r="Z69" i="1" s="1"/>
  <c r="G68" i="1"/>
  <c r="F68" i="1"/>
  <c r="E68" i="1"/>
  <c r="D68" i="1"/>
  <c r="T67" i="1"/>
  <c r="R67" i="1"/>
  <c r="AC67" i="1" s="1"/>
  <c r="H66" i="1"/>
  <c r="O67" i="1" s="1"/>
  <c r="Z67" i="1" s="1"/>
  <c r="G66" i="1"/>
  <c r="F66" i="1"/>
  <c r="E66" i="1"/>
  <c r="D66" i="1"/>
  <c r="T65" i="1"/>
  <c r="R65" i="1"/>
  <c r="AC65" i="1" s="1"/>
  <c r="H64" i="1"/>
  <c r="O65" i="1" s="1"/>
  <c r="Z65" i="1" s="1"/>
  <c r="G64" i="1"/>
  <c r="F64" i="1"/>
  <c r="M65" i="1" s="1"/>
  <c r="V65" i="1" s="1"/>
  <c r="E64" i="1"/>
  <c r="D64" i="1"/>
  <c r="T63" i="1"/>
  <c r="R63" i="1"/>
  <c r="AC63" i="1" s="1"/>
  <c r="H62" i="1"/>
  <c r="O63" i="1" s="1"/>
  <c r="Z63" i="1" s="1"/>
  <c r="G62" i="1"/>
  <c r="F62" i="1"/>
  <c r="M63" i="1" s="1"/>
  <c r="V63" i="1" s="1"/>
  <c r="E62" i="1"/>
  <c r="D62" i="1"/>
  <c r="T61" i="1"/>
  <c r="R61" i="1"/>
  <c r="AC61" i="1" s="1"/>
  <c r="H60" i="1"/>
  <c r="O61" i="1" s="1"/>
  <c r="Z61" i="1" s="1"/>
  <c r="G60" i="1"/>
  <c r="F60" i="1"/>
  <c r="M61" i="1" s="1"/>
  <c r="V61" i="1" s="1"/>
  <c r="E60" i="1"/>
  <c r="D60" i="1"/>
  <c r="T59" i="1"/>
  <c r="R59" i="1"/>
  <c r="AC59" i="1" s="1"/>
  <c r="I58" i="1"/>
  <c r="H58" i="1"/>
  <c r="G58" i="1"/>
  <c r="F58" i="1"/>
  <c r="E58" i="1"/>
  <c r="D58" i="1"/>
  <c r="T57" i="1"/>
  <c r="R57" i="1"/>
  <c r="AC57" i="1" s="1"/>
  <c r="I56" i="1"/>
  <c r="H56" i="1"/>
  <c r="G56" i="1"/>
  <c r="F56" i="1"/>
  <c r="E56" i="1"/>
  <c r="D56" i="1"/>
  <c r="T55" i="1"/>
  <c r="R55" i="1"/>
  <c r="AC55" i="1" s="1"/>
  <c r="H54" i="1"/>
  <c r="G54" i="1"/>
  <c r="F54" i="1"/>
  <c r="E54" i="1"/>
  <c r="D54" i="1"/>
  <c r="T53" i="1"/>
  <c r="R53" i="1"/>
  <c r="AC53" i="1" s="1"/>
  <c r="I52" i="1"/>
  <c r="H52" i="1"/>
  <c r="G52" i="1"/>
  <c r="F52" i="1"/>
  <c r="E52" i="1"/>
  <c r="D52" i="1"/>
  <c r="T51" i="1"/>
  <c r="R51" i="1"/>
  <c r="AC51" i="1" s="1"/>
  <c r="I50" i="1"/>
  <c r="H50" i="1"/>
  <c r="G50" i="1"/>
  <c r="F50" i="1"/>
  <c r="E50" i="1"/>
  <c r="D50" i="1"/>
  <c r="T49" i="1"/>
  <c r="R49" i="1"/>
  <c r="AC49" i="1" s="1"/>
  <c r="J48" i="1"/>
  <c r="I48" i="1"/>
  <c r="H48" i="1"/>
  <c r="O49" i="1" s="1"/>
  <c r="Z49" i="1" s="1"/>
  <c r="G48" i="1"/>
  <c r="F48" i="1"/>
  <c r="E48" i="1"/>
  <c r="D48" i="1"/>
  <c r="T47" i="1"/>
  <c r="R47" i="1"/>
  <c r="AC47" i="1" s="1"/>
  <c r="J46" i="1"/>
  <c r="I46" i="1"/>
  <c r="H46" i="1"/>
  <c r="G46" i="1"/>
  <c r="F46" i="1"/>
  <c r="E46" i="1"/>
  <c r="D46" i="1"/>
  <c r="T45" i="1"/>
  <c r="R45" i="1"/>
  <c r="AC45" i="1" s="1"/>
  <c r="M45" i="1"/>
  <c r="V45" i="1" s="1"/>
  <c r="I44" i="1"/>
  <c r="H44" i="1"/>
  <c r="G44" i="1"/>
  <c r="E44" i="1"/>
  <c r="D44" i="1"/>
  <c r="T43" i="1"/>
  <c r="R43" i="1"/>
  <c r="AC43" i="1" s="1"/>
  <c r="J42" i="1"/>
  <c r="O43" i="1" s="1"/>
  <c r="Z43" i="1" s="1"/>
  <c r="I42" i="1"/>
  <c r="H42" i="1"/>
  <c r="G42" i="1"/>
  <c r="F42" i="1"/>
  <c r="E42" i="1"/>
  <c r="D42" i="1"/>
  <c r="AC41" i="1"/>
  <c r="T41" i="1"/>
  <c r="H40" i="1"/>
  <c r="O41" i="1" s="1"/>
  <c r="Z41" i="1" s="1"/>
  <c r="G40" i="1"/>
  <c r="M41" i="1" s="1"/>
  <c r="V41" i="1" s="1"/>
  <c r="F40" i="1"/>
  <c r="E40" i="1"/>
  <c r="D40" i="1"/>
  <c r="AC39" i="1"/>
  <c r="T39" i="1"/>
  <c r="H38" i="1"/>
  <c r="G38" i="1"/>
  <c r="M39" i="1" s="1"/>
  <c r="V39" i="1" s="1"/>
  <c r="E38" i="1"/>
  <c r="D38" i="1"/>
  <c r="AC37" i="1"/>
  <c r="T37" i="1"/>
  <c r="I36" i="1"/>
  <c r="H36" i="1"/>
  <c r="G36" i="1"/>
  <c r="F36" i="1"/>
  <c r="E36" i="1"/>
  <c r="D36" i="1"/>
  <c r="AC35" i="1"/>
  <c r="T35" i="1"/>
  <c r="I34" i="1"/>
  <c r="H34" i="1"/>
  <c r="G34" i="1"/>
  <c r="O35" i="1" s="1"/>
  <c r="Z35" i="1" s="1"/>
  <c r="AF34" i="1" s="1"/>
  <c r="F34" i="1"/>
  <c r="E34" i="1"/>
  <c r="D34" i="1"/>
  <c r="AC33" i="1"/>
  <c r="Z33" i="1"/>
  <c r="T33" i="1"/>
  <c r="H32" i="1"/>
  <c r="G32" i="1"/>
  <c r="F32" i="1"/>
  <c r="E32" i="1"/>
  <c r="D32" i="1"/>
  <c r="AC31" i="1"/>
  <c r="T31" i="1"/>
  <c r="I30" i="1"/>
  <c r="H30" i="1"/>
  <c r="G30" i="1"/>
  <c r="F30" i="1"/>
  <c r="E30" i="1"/>
  <c r="D30" i="1"/>
  <c r="AC29" i="1"/>
  <c r="T29" i="1"/>
  <c r="M29" i="1"/>
  <c r="V29" i="1" s="1"/>
  <c r="H28" i="1"/>
  <c r="G28" i="1"/>
  <c r="O29" i="1" s="1"/>
  <c r="Z29" i="1" s="1"/>
  <c r="F28" i="1"/>
  <c r="E28" i="1"/>
  <c r="D28" i="1"/>
  <c r="AC27" i="1"/>
  <c r="T27" i="1"/>
  <c r="K26" i="1"/>
  <c r="J26" i="1"/>
  <c r="I26" i="1"/>
  <c r="O27" i="1" s="1"/>
  <c r="Z27" i="1" s="1"/>
  <c r="AF26" i="1" s="1"/>
  <c r="H26" i="1"/>
  <c r="G26" i="1"/>
  <c r="F26" i="1"/>
  <c r="E26" i="1"/>
  <c r="D26" i="1"/>
  <c r="AC25" i="1"/>
  <c r="T25" i="1"/>
  <c r="K24" i="1"/>
  <c r="J24" i="1"/>
  <c r="I24" i="1"/>
  <c r="H24" i="1"/>
  <c r="G24" i="1"/>
  <c r="F24" i="1"/>
  <c r="E24" i="1"/>
  <c r="D24" i="1"/>
  <c r="AC23" i="1"/>
  <c r="T23" i="1"/>
  <c r="L22" i="1"/>
  <c r="K22" i="1"/>
  <c r="J22" i="1"/>
  <c r="I22" i="1"/>
  <c r="H22" i="1"/>
  <c r="G22" i="1"/>
  <c r="F22" i="1"/>
  <c r="E22" i="1"/>
  <c r="D22" i="1"/>
  <c r="AC21" i="1"/>
  <c r="T21" i="1"/>
  <c r="L20" i="1"/>
  <c r="K20" i="1"/>
  <c r="O21" i="1" s="1"/>
  <c r="Z21" i="1" s="1"/>
  <c r="J20" i="1"/>
  <c r="I20" i="1"/>
  <c r="H20" i="1"/>
  <c r="G20" i="1"/>
  <c r="F20" i="1"/>
  <c r="E20" i="1"/>
  <c r="D20" i="1"/>
  <c r="AC19" i="1"/>
  <c r="T19" i="1"/>
  <c r="J18" i="1"/>
  <c r="I18" i="1"/>
  <c r="H18" i="1"/>
  <c r="O19" i="1" s="1"/>
  <c r="Z19" i="1" s="1"/>
  <c r="G18" i="1"/>
  <c r="F18" i="1"/>
  <c r="E18" i="1"/>
  <c r="D18" i="1"/>
  <c r="AC17" i="1"/>
  <c r="T17" i="1"/>
  <c r="J16" i="1"/>
  <c r="I16" i="1"/>
  <c r="H16" i="1"/>
  <c r="G16" i="1"/>
  <c r="F16" i="1"/>
  <c r="E16" i="1"/>
  <c r="D16" i="1"/>
  <c r="AC15" i="1"/>
  <c r="T15" i="1"/>
  <c r="J14" i="1"/>
  <c r="I14" i="1"/>
  <c r="H14" i="1"/>
  <c r="O15" i="1" s="1"/>
  <c r="Z15" i="1" s="1"/>
  <c r="G14" i="1"/>
  <c r="F14" i="1"/>
  <c r="E14" i="1"/>
  <c r="D14" i="1"/>
  <c r="AC13" i="1"/>
  <c r="T13" i="1"/>
  <c r="I12" i="1"/>
  <c r="H12" i="1"/>
  <c r="G12" i="1"/>
  <c r="F12" i="1"/>
  <c r="E12" i="1"/>
  <c r="D12" i="1"/>
  <c r="AC11" i="1"/>
  <c r="T11" i="1"/>
  <c r="J10" i="1"/>
  <c r="I10" i="1"/>
  <c r="H10" i="1"/>
  <c r="G10" i="1"/>
  <c r="F10" i="1"/>
  <c r="D10" i="1"/>
  <c r="T9" i="1"/>
  <c r="I8" i="1"/>
  <c r="H8" i="1"/>
  <c r="G8" i="1"/>
  <c r="F8" i="1"/>
  <c r="D8" i="1"/>
  <c r="I6" i="1"/>
  <c r="G6" i="1"/>
  <c r="F6" i="1"/>
  <c r="E6" i="1"/>
  <c r="D6" i="1"/>
  <c r="T5" i="1"/>
  <c r="J4" i="1"/>
  <c r="I4" i="1"/>
  <c r="H4" i="1"/>
  <c r="G4" i="1"/>
  <c r="F4" i="1"/>
  <c r="E4" i="1"/>
  <c r="D4" i="1"/>
  <c r="T2" i="1"/>
  <c r="K2" i="1"/>
  <c r="J2" i="1"/>
  <c r="I2" i="1"/>
  <c r="H2" i="1"/>
  <c r="G2" i="1"/>
  <c r="F2" i="1"/>
  <c r="O2" i="1" s="1"/>
  <c r="Z2" i="1" s="1"/>
  <c r="AF2" i="1" s="1"/>
  <c r="E2" i="1"/>
  <c r="D2" i="1"/>
  <c r="AE114" i="1" l="1"/>
  <c r="AE116" i="1"/>
  <c r="AG132" i="1"/>
  <c r="AE190" i="1"/>
  <c r="E202" i="1"/>
  <c r="AD282" i="1"/>
  <c r="AG214" i="1"/>
  <c r="AB261" i="1"/>
  <c r="AD284" i="1"/>
  <c r="AD280" i="1"/>
  <c r="E326" i="1"/>
  <c r="AF14" i="1"/>
  <c r="N117" i="1"/>
  <c r="X117" i="1" s="1"/>
  <c r="AD158" i="1"/>
  <c r="E256" i="1"/>
  <c r="E258" i="1"/>
  <c r="E316" i="1"/>
  <c r="M115" i="1"/>
  <c r="V115" i="1" s="1"/>
  <c r="M143" i="1"/>
  <c r="V143" i="1" s="1"/>
  <c r="E314" i="1"/>
  <c r="AD242" i="1"/>
  <c r="AE284" i="1"/>
  <c r="O37" i="1"/>
  <c r="Z37" i="1" s="1"/>
  <c r="AF36" i="1" s="1"/>
  <c r="N59" i="1"/>
  <c r="X59" i="1" s="1"/>
  <c r="AD188" i="1"/>
  <c r="AD236" i="1"/>
  <c r="AG268" i="1"/>
  <c r="AE280" i="1"/>
  <c r="P83" i="1"/>
  <c r="AB83" i="1" s="1"/>
  <c r="AG82" i="1" s="1"/>
  <c r="P97" i="1"/>
  <c r="AB97" i="1" s="1"/>
  <c r="AG96" i="1" s="1"/>
  <c r="AD38" i="1"/>
  <c r="N51" i="1"/>
  <c r="X51" i="1" s="1"/>
  <c r="M53" i="1"/>
  <c r="V53" i="1" s="1"/>
  <c r="N65" i="1"/>
  <c r="X65" i="1" s="1"/>
  <c r="AE64" i="1" s="1"/>
  <c r="N91" i="1"/>
  <c r="X91" i="1" s="1"/>
  <c r="M97" i="1"/>
  <c r="V97" i="1" s="1"/>
  <c r="AD96" i="1" s="1"/>
  <c r="O107" i="1"/>
  <c r="Z107" i="1" s="1"/>
  <c r="AF106" i="1" s="1"/>
  <c r="O111" i="1"/>
  <c r="Z111" i="1" s="1"/>
  <c r="M131" i="1"/>
  <c r="V131" i="1" s="1"/>
  <c r="AD130" i="1" s="1"/>
  <c r="AD142" i="1"/>
  <c r="AF144" i="1"/>
  <c r="N147" i="1"/>
  <c r="X147" i="1" s="1"/>
  <c r="N157" i="1"/>
  <c r="X157" i="1" s="1"/>
  <c r="AE156" i="1" s="1"/>
  <c r="AE158" i="1"/>
  <c r="M161" i="1"/>
  <c r="V161" i="1" s="1"/>
  <c r="AD198" i="1"/>
  <c r="AD212" i="1"/>
  <c r="AE236" i="1"/>
  <c r="AE244" i="1"/>
  <c r="AE246" i="1"/>
  <c r="AE288" i="1"/>
  <c r="AG330" i="1"/>
  <c r="AD250" i="1"/>
  <c r="AD292" i="1"/>
  <c r="AF60" i="1"/>
  <c r="P183" i="1"/>
  <c r="N185" i="1"/>
  <c r="X185" i="1" s="1"/>
  <c r="AF210" i="1"/>
  <c r="AE258" i="1"/>
  <c r="AE290" i="1"/>
  <c r="AD300" i="1"/>
  <c r="AD318" i="1"/>
  <c r="N17" i="1"/>
  <c r="X17" i="1" s="1"/>
  <c r="AE16" i="1" s="1"/>
  <c r="M37" i="1"/>
  <c r="V37" i="1" s="1"/>
  <c r="O71" i="1"/>
  <c r="Z71" i="1" s="1"/>
  <c r="AF70" i="1" s="1"/>
  <c r="N73" i="1"/>
  <c r="X73" i="1" s="1"/>
  <c r="AE72" i="1" s="1"/>
  <c r="N79" i="1"/>
  <c r="X79" i="1" s="1"/>
  <c r="AD78" i="1"/>
  <c r="O81" i="1"/>
  <c r="Z81" i="1" s="1"/>
  <c r="O83" i="1"/>
  <c r="Z83" i="1" s="1"/>
  <c r="N97" i="1"/>
  <c r="X97" i="1" s="1"/>
  <c r="AE96" i="1" s="1"/>
  <c r="AE100" i="1"/>
  <c r="O121" i="1"/>
  <c r="Z121" i="1" s="1"/>
  <c r="O143" i="1"/>
  <c r="Z143" i="1" s="1"/>
  <c r="M145" i="1"/>
  <c r="V145" i="1" s="1"/>
  <c r="N161" i="1"/>
  <c r="X161" i="1" s="1"/>
  <c r="AE160" i="1" s="1"/>
  <c r="M171" i="1"/>
  <c r="V171" i="1" s="1"/>
  <c r="M177" i="1"/>
  <c r="V177" i="1" s="1"/>
  <c r="AD176" i="1" s="1"/>
  <c r="AG196" i="1"/>
  <c r="AB199" i="1"/>
  <c r="AG200" i="1"/>
  <c r="AF216" i="1"/>
  <c r="AG218" i="1"/>
  <c r="M231" i="1"/>
  <c r="V231" i="1" s="1"/>
  <c r="AB237" i="1"/>
  <c r="AE238" i="1"/>
  <c r="AD246" i="1"/>
  <c r="AF248" i="1"/>
  <c r="AF254" i="1"/>
  <c r="AF274" i="1"/>
  <c r="AE276" i="1"/>
  <c r="AG282" i="1"/>
  <c r="AG290" i="1"/>
  <c r="AF68" i="1"/>
  <c r="AE192" i="1"/>
  <c r="AE328" i="1"/>
  <c r="N199" i="1"/>
  <c r="X199" i="1" s="1"/>
  <c r="AE198" i="1" s="1"/>
  <c r="AG284" i="1"/>
  <c r="AD310" i="1"/>
  <c r="O7" i="1"/>
  <c r="Z7" i="1" s="1"/>
  <c r="AF6" i="1" s="1"/>
  <c r="AF32" i="1"/>
  <c r="AF62" i="1"/>
  <c r="P105" i="1"/>
  <c r="AB105" i="1" s="1"/>
  <c r="AG104" i="1" s="1"/>
  <c r="AG126" i="1"/>
  <c r="AG138" i="1"/>
  <c r="O151" i="1"/>
  <c r="Z151" i="1" s="1"/>
  <c r="O169" i="1"/>
  <c r="Z169" i="1" s="1"/>
  <c r="AF168" i="1" s="1"/>
  <c r="E196" i="1"/>
  <c r="O233" i="1"/>
  <c r="Z233" i="1" s="1"/>
  <c r="AF232" i="1" s="1"/>
  <c r="P7" i="1"/>
  <c r="AB7" i="1" s="1"/>
  <c r="AG6" i="1" s="1"/>
  <c r="N21" i="1"/>
  <c r="X21" i="1" s="1"/>
  <c r="AE20" i="1" s="1"/>
  <c r="N25" i="1"/>
  <c r="X25" i="1" s="1"/>
  <c r="AE24" i="1" s="1"/>
  <c r="N35" i="1"/>
  <c r="X35" i="1" s="1"/>
  <c r="AE34" i="1" s="1"/>
  <c r="P55" i="1"/>
  <c r="AB55" i="1" s="1"/>
  <c r="AG54" i="1" s="1"/>
  <c r="M95" i="1"/>
  <c r="V95" i="1" s="1"/>
  <c r="AD94" i="1" s="1"/>
  <c r="O109" i="1"/>
  <c r="Z109" i="1" s="1"/>
  <c r="AF108" i="1" s="1"/>
  <c r="AD160" i="1"/>
  <c r="O185" i="1"/>
  <c r="Z185" i="1" s="1"/>
  <c r="AF184" i="1" s="1"/>
  <c r="N187" i="1"/>
  <c r="X187" i="1" s="1"/>
  <c r="AE186" i="1" s="1"/>
  <c r="AD214" i="1"/>
  <c r="AD216" i="1"/>
  <c r="AF226" i="1"/>
  <c r="AF236" i="1"/>
  <c r="AF252" i="1"/>
  <c r="AB263" i="1"/>
  <c r="AG262" i="1" s="1"/>
  <c r="P271" i="1"/>
  <c r="AF276" i="1"/>
  <c r="AG280" i="1"/>
  <c r="AF282" i="1"/>
  <c r="AE304" i="1"/>
  <c r="AD312" i="1"/>
  <c r="P57" i="1"/>
  <c r="AB57" i="1" s="1"/>
  <c r="P59" i="1"/>
  <c r="AB59" i="1" s="1"/>
  <c r="N87" i="1"/>
  <c r="X87" i="1" s="1"/>
  <c r="AE170" i="1"/>
  <c r="AE216" i="1"/>
  <c r="AG258" i="1"/>
  <c r="AF290" i="1"/>
  <c r="AD320" i="1"/>
  <c r="O17" i="1"/>
  <c r="Z17" i="1" s="1"/>
  <c r="AF16" i="1" s="1"/>
  <c r="AD28" i="1"/>
  <c r="N39" i="1"/>
  <c r="X39" i="1" s="1"/>
  <c r="AE38" i="1" s="1"/>
  <c r="AF40" i="1"/>
  <c r="P53" i="1"/>
  <c r="AB53" i="1" s="1"/>
  <c r="AG52" i="1" s="1"/>
  <c r="AF76" i="1"/>
  <c r="N93" i="1"/>
  <c r="X93" i="1" s="1"/>
  <c r="N95" i="1"/>
  <c r="X95" i="1" s="1"/>
  <c r="O123" i="1"/>
  <c r="Z123" i="1" s="1"/>
  <c r="AF122" i="1" s="1"/>
  <c r="M149" i="1"/>
  <c r="V149" i="1" s="1"/>
  <c r="AD148" i="1" s="1"/>
  <c r="P151" i="1"/>
  <c r="E150" i="1" s="1"/>
  <c r="AF170" i="1"/>
  <c r="M175" i="1"/>
  <c r="V175" i="1" s="1"/>
  <c r="AF176" i="1"/>
  <c r="AE214" i="1"/>
  <c r="N221" i="1"/>
  <c r="X221" i="1" s="1"/>
  <c r="AE220" i="1" s="1"/>
  <c r="AD266" i="1"/>
  <c r="AG274" i="1"/>
  <c r="AG276" i="1"/>
  <c r="AF284" i="1"/>
  <c r="E304" i="1"/>
  <c r="AF304" i="1"/>
  <c r="AD314" i="1"/>
  <c r="AD322" i="1"/>
  <c r="AD326" i="1"/>
  <c r="AG328" i="1"/>
  <c r="M67" i="1"/>
  <c r="V67" i="1" s="1"/>
  <c r="AD66" i="1" s="1"/>
  <c r="N67" i="1"/>
  <c r="X67" i="1" s="1"/>
  <c r="AE102" i="1"/>
  <c r="N189" i="1"/>
  <c r="X189" i="1" s="1"/>
  <c r="AE188" i="1" s="1"/>
  <c r="P189" i="1"/>
  <c r="AB189" i="1" s="1"/>
  <c r="AG188" i="1" s="1"/>
  <c r="AB245" i="1"/>
  <c r="AB239" i="1"/>
  <c r="AG238" i="1" s="1"/>
  <c r="N75" i="1"/>
  <c r="X75" i="1" s="1"/>
  <c r="AE74" i="1" s="1"/>
  <c r="P95" i="1"/>
  <c r="AB95" i="1" s="1"/>
  <c r="AG94" i="1" s="1"/>
  <c r="M163" i="1"/>
  <c r="V163" i="1" s="1"/>
  <c r="AD162" i="1" s="1"/>
  <c r="N163" i="1"/>
  <c r="X163" i="1" s="1"/>
  <c r="AE162" i="1" s="1"/>
  <c r="O163" i="1"/>
  <c r="Z163" i="1" s="1"/>
  <c r="N2" i="1"/>
  <c r="X2" i="1" s="1"/>
  <c r="AE2" i="1" s="1"/>
  <c r="N5" i="1"/>
  <c r="X5" i="1" s="1"/>
  <c r="AE4" i="1" s="1"/>
  <c r="N9" i="1"/>
  <c r="X9" i="1" s="1"/>
  <c r="AE8" i="1" s="1"/>
  <c r="P27" i="1"/>
  <c r="AB27" i="1" s="1"/>
  <c r="AG26" i="1" s="1"/>
  <c r="P49" i="1"/>
  <c r="AB49" i="1" s="1"/>
  <c r="AG48" i="1" s="1"/>
  <c r="O103" i="1"/>
  <c r="Z103" i="1" s="1"/>
  <c r="AF102" i="1" s="1"/>
  <c r="P103" i="1"/>
  <c r="AB103" i="1" s="1"/>
  <c r="AG102" i="1" s="1"/>
  <c r="P123" i="1"/>
  <c r="E122" i="1" s="1"/>
  <c r="AE262" i="1"/>
  <c r="AG272" i="1"/>
  <c r="AE272" i="1"/>
  <c r="P21" i="1"/>
  <c r="AB21" i="1" s="1"/>
  <c r="AG20" i="1" s="1"/>
  <c r="AF20" i="1"/>
  <c r="P23" i="1"/>
  <c r="AB23" i="1" s="1"/>
  <c r="AG22" i="1" s="1"/>
  <c r="N27" i="1"/>
  <c r="X27" i="1" s="1"/>
  <c r="AE26" i="1" s="1"/>
  <c r="M49" i="1"/>
  <c r="V49" i="1" s="1"/>
  <c r="E214" i="1"/>
  <c r="AB215" i="1"/>
  <c r="AF270" i="1"/>
  <c r="AD272" i="1"/>
  <c r="AG278" i="1"/>
  <c r="AF278" i="1"/>
  <c r="AB289" i="1"/>
  <c r="AG288" i="1" s="1"/>
  <c r="AE296" i="1"/>
  <c r="AB323" i="1"/>
  <c r="N11" i="1"/>
  <c r="X11" i="1" s="1"/>
  <c r="AE10" i="1" s="1"/>
  <c r="P13" i="1"/>
  <c r="AB13" i="1" s="1"/>
  <c r="AG12" i="1" s="1"/>
  <c r="P15" i="1"/>
  <c r="AB15" i="1" s="1"/>
  <c r="AG14" i="1" s="1"/>
  <c r="P19" i="1"/>
  <c r="AB19" i="1" s="1"/>
  <c r="AG18" i="1" s="1"/>
  <c r="O23" i="1"/>
  <c r="Z23" i="1" s="1"/>
  <c r="AF22" i="1" s="1"/>
  <c r="M25" i="1"/>
  <c r="V25" i="1" s="1"/>
  <c r="O25" i="1"/>
  <c r="Z25" i="1" s="1"/>
  <c r="M27" i="1"/>
  <c r="V27" i="1" s="1"/>
  <c r="AD26" i="1" s="1"/>
  <c r="P29" i="1"/>
  <c r="AB29" i="1" s="1"/>
  <c r="AG28" i="1" s="1"/>
  <c r="P31" i="1"/>
  <c r="AB31" i="1" s="1"/>
  <c r="AG30" i="1" s="1"/>
  <c r="M33" i="1"/>
  <c r="V33" i="1" s="1"/>
  <c r="AD32" i="1" s="1"/>
  <c r="N37" i="1"/>
  <c r="X37" i="1" s="1"/>
  <c r="AE36" i="1" s="1"/>
  <c r="P39" i="1"/>
  <c r="AB39" i="1" s="1"/>
  <c r="AG38" i="1" s="1"/>
  <c r="P43" i="1"/>
  <c r="AB43" i="1" s="1"/>
  <c r="AG42" i="1" s="1"/>
  <c r="P45" i="1"/>
  <c r="AB45" i="1" s="1"/>
  <c r="AG44" i="1" s="1"/>
  <c r="N47" i="1"/>
  <c r="X47" i="1" s="1"/>
  <c r="AE46" i="1" s="1"/>
  <c r="O47" i="1"/>
  <c r="Z47" i="1" s="1"/>
  <c r="AF46" i="1" s="1"/>
  <c r="N53" i="1"/>
  <c r="X53" i="1" s="1"/>
  <c r="AE52" i="1" s="1"/>
  <c r="N55" i="1"/>
  <c r="X55" i="1" s="1"/>
  <c r="AE54" i="1" s="1"/>
  <c r="O59" i="1"/>
  <c r="Z59" i="1" s="1"/>
  <c r="AF58" i="1" s="1"/>
  <c r="O85" i="1"/>
  <c r="Z85" i="1" s="1"/>
  <c r="AF84" i="1" s="1"/>
  <c r="M101" i="1"/>
  <c r="V101" i="1" s="1"/>
  <c r="AD100" i="1" s="1"/>
  <c r="M109" i="1"/>
  <c r="V109" i="1" s="1"/>
  <c r="AD108" i="1" s="1"/>
  <c r="P111" i="1"/>
  <c r="AB111" i="1" s="1"/>
  <c r="AG110" i="1" s="1"/>
  <c r="O113" i="1"/>
  <c r="Z113" i="1" s="1"/>
  <c r="AF112" i="1" s="1"/>
  <c r="O115" i="1"/>
  <c r="Z115" i="1" s="1"/>
  <c r="O119" i="1"/>
  <c r="Z119" i="1" s="1"/>
  <c r="AF118" i="1" s="1"/>
  <c r="O129" i="1"/>
  <c r="Z129" i="1" s="1"/>
  <c r="AF128" i="1" s="1"/>
  <c r="AE134" i="1"/>
  <c r="N151" i="1"/>
  <c r="X151" i="1" s="1"/>
  <c r="AE150" i="1" s="1"/>
  <c r="N165" i="1"/>
  <c r="X165" i="1" s="1"/>
  <c r="M165" i="1"/>
  <c r="V165" i="1" s="1"/>
  <c r="M169" i="1"/>
  <c r="V169" i="1" s="1"/>
  <c r="AD168" i="1" s="1"/>
  <c r="P187" i="1"/>
  <c r="AF200" i="1"/>
  <c r="AG226" i="1"/>
  <c r="AE254" i="1"/>
  <c r="AD278" i="1"/>
  <c r="AG286" i="1"/>
  <c r="AF286" i="1"/>
  <c r="AF302" i="1"/>
  <c r="AD302" i="1"/>
  <c r="P11" i="1"/>
  <c r="E10" i="1" s="1"/>
  <c r="P17" i="1"/>
  <c r="AB17" i="1" s="1"/>
  <c r="AG16" i="1" s="1"/>
  <c r="P85" i="1"/>
  <c r="E84" i="1" s="1"/>
  <c r="M107" i="1"/>
  <c r="V107" i="1" s="1"/>
  <c r="AD106" i="1" s="1"/>
  <c r="AE146" i="1"/>
  <c r="P2" i="1"/>
  <c r="AB2" i="1" s="1"/>
  <c r="AG2" i="1" s="1"/>
  <c r="P5" i="1"/>
  <c r="AB5" i="1" s="1"/>
  <c r="AG4" i="1" s="1"/>
  <c r="N7" i="1"/>
  <c r="X7" i="1" s="1"/>
  <c r="AE6" i="1" s="1"/>
  <c r="P9" i="1"/>
  <c r="E8" i="1" s="1"/>
  <c r="N13" i="1"/>
  <c r="X13" i="1" s="1"/>
  <c r="AE12" i="1" s="1"/>
  <c r="N15" i="1"/>
  <c r="X15" i="1" s="1"/>
  <c r="AE14" i="1" s="1"/>
  <c r="M19" i="1"/>
  <c r="V19" i="1" s="1"/>
  <c r="AD18" i="1" s="1"/>
  <c r="N19" i="1"/>
  <c r="X19" i="1" s="1"/>
  <c r="AE18" i="1" s="1"/>
  <c r="N23" i="1"/>
  <c r="X23" i="1" s="1"/>
  <c r="AE22" i="1" s="1"/>
  <c r="O31" i="1"/>
  <c r="Z31" i="1" s="1"/>
  <c r="M35" i="1"/>
  <c r="V35" i="1" s="1"/>
  <c r="AD34" i="1" s="1"/>
  <c r="P37" i="1"/>
  <c r="AB37" i="1" s="1"/>
  <c r="AG36" i="1" s="1"/>
  <c r="N43" i="1"/>
  <c r="X43" i="1" s="1"/>
  <c r="AE42" i="1" s="1"/>
  <c r="O45" i="1"/>
  <c r="Z45" i="1" s="1"/>
  <c r="AF44" i="1" s="1"/>
  <c r="O51" i="1"/>
  <c r="Z51" i="1" s="1"/>
  <c r="O53" i="1"/>
  <c r="Z53" i="1" s="1"/>
  <c r="AF52" i="1" s="1"/>
  <c r="M71" i="1"/>
  <c r="V71" i="1" s="1"/>
  <c r="AE80" i="1"/>
  <c r="AE88" i="1"/>
  <c r="O93" i="1"/>
  <c r="Z93" i="1" s="1"/>
  <c r="AF92" i="1" s="1"/>
  <c r="M99" i="1"/>
  <c r="V99" i="1" s="1"/>
  <c r="AD98" i="1" s="1"/>
  <c r="P107" i="1"/>
  <c r="AB107" i="1" s="1"/>
  <c r="AG106" i="1" s="1"/>
  <c r="P109" i="1"/>
  <c r="E108" i="1" s="1"/>
  <c r="N119" i="1"/>
  <c r="X119" i="1" s="1"/>
  <c r="M119" i="1"/>
  <c r="V119" i="1" s="1"/>
  <c r="AD118" i="1" s="1"/>
  <c r="M121" i="1"/>
  <c r="V121" i="1" s="1"/>
  <c r="N121" i="1"/>
  <c r="X121" i="1" s="1"/>
  <c r="AE120" i="1" s="1"/>
  <c r="P121" i="1"/>
  <c r="E120" i="1" s="1"/>
  <c r="P125" i="1"/>
  <c r="AB125" i="1" s="1"/>
  <c r="AG124" i="1" s="1"/>
  <c r="P129" i="1"/>
  <c r="AB129" i="1" s="1"/>
  <c r="AE128" i="1"/>
  <c r="P147" i="1"/>
  <c r="M157" i="1"/>
  <c r="V157" i="1" s="1"/>
  <c r="AD156" i="1" s="1"/>
  <c r="N225" i="1"/>
  <c r="X225" i="1" s="1"/>
  <c r="AE224" i="1" s="1"/>
  <c r="AE226" i="1"/>
  <c r="P233" i="1"/>
  <c r="AB241" i="1"/>
  <c r="AD258" i="1"/>
  <c r="AD286" i="1"/>
  <c r="AF294" i="1"/>
  <c r="AD294" i="1"/>
  <c r="AB321" i="1"/>
  <c r="E320" i="1"/>
  <c r="AB325" i="1"/>
  <c r="E324" i="1"/>
  <c r="M141" i="1"/>
  <c r="V141" i="1" s="1"/>
  <c r="M155" i="1"/>
  <c r="V155" i="1" s="1"/>
  <c r="N169" i="1"/>
  <c r="X169" i="1" s="1"/>
  <c r="P179" i="1"/>
  <c r="P221" i="1"/>
  <c r="AB221" i="1" s="1"/>
  <c r="M225" i="1"/>
  <c r="V225" i="1" s="1"/>
  <c r="AD224" i="1" s="1"/>
  <c r="AF230" i="1"/>
  <c r="M233" i="1"/>
  <c r="V233" i="1" s="1"/>
  <c r="AD232" i="1" s="1"/>
  <c r="E254" i="1"/>
  <c r="AD270" i="1"/>
  <c r="E272" i="1"/>
  <c r="AF280" i="1"/>
  <c r="AE292" i="1"/>
  <c r="AE294" i="1"/>
  <c r="AF296" i="1"/>
  <c r="AE300" i="1"/>
  <c r="AE302" i="1"/>
  <c r="AG304" i="1"/>
  <c r="E318" i="1"/>
  <c r="E132" i="1"/>
  <c r="N141" i="1"/>
  <c r="X141" i="1" s="1"/>
  <c r="AE140" i="1" s="1"/>
  <c r="M151" i="1"/>
  <c r="V151" i="1" s="1"/>
  <c r="AD150" i="1" s="1"/>
  <c r="P177" i="1"/>
  <c r="N183" i="1"/>
  <c r="X183" i="1" s="1"/>
  <c r="AE182" i="1" s="1"/>
  <c r="M187" i="1"/>
  <c r="V187" i="1" s="1"/>
  <c r="AD186" i="1" s="1"/>
  <c r="AE202" i="1"/>
  <c r="M221" i="1"/>
  <c r="V221" i="1" s="1"/>
  <c r="N223" i="1"/>
  <c r="X223" i="1" s="1"/>
  <c r="AE222" i="1" s="1"/>
  <c r="N231" i="1"/>
  <c r="X231" i="1" s="1"/>
  <c r="P231" i="1"/>
  <c r="AB231" i="1" s="1"/>
  <c r="AG230" i="1" s="1"/>
  <c r="AG254" i="1"/>
  <c r="E264" i="1"/>
  <c r="AF272" i="1"/>
  <c r="E292" i="1"/>
  <c r="AG296" i="1"/>
  <c r="E300" i="1"/>
  <c r="E330" i="1"/>
  <c r="N233" i="1"/>
  <c r="X233" i="1" s="1"/>
  <c r="AE232" i="1" s="1"/>
  <c r="AF244" i="1"/>
  <c r="AG264" i="1"/>
  <c r="AE264" i="1"/>
  <c r="AB267" i="1"/>
  <c r="AG266" i="1" s="1"/>
  <c r="AD274" i="1"/>
  <c r="AF288" i="1"/>
  <c r="AD288" i="1"/>
  <c r="AB295" i="1"/>
  <c r="AG294" i="1" s="1"/>
  <c r="AF48" i="1"/>
  <c r="AD48" i="1"/>
  <c r="AF50" i="1"/>
  <c r="AE50" i="1"/>
  <c r="AD104" i="1"/>
  <c r="AE104" i="1"/>
  <c r="AD24" i="1"/>
  <c r="AD36" i="1"/>
  <c r="AD40" i="1"/>
  <c r="AF42" i="1"/>
  <c r="AD44" i="1"/>
  <c r="AG58" i="1"/>
  <c r="AE98" i="1"/>
  <c r="E110" i="1"/>
  <c r="AF150" i="1"/>
  <c r="AG56" i="1"/>
  <c r="E82" i="1"/>
  <c r="M2" i="1"/>
  <c r="V2" i="1" s="1"/>
  <c r="AD2" i="1" s="1"/>
  <c r="M5" i="1"/>
  <c r="V5" i="1" s="1"/>
  <c r="AD4" i="1" s="1"/>
  <c r="M13" i="1"/>
  <c r="V13" i="1" s="1"/>
  <c r="AD12" i="1" s="1"/>
  <c r="M31" i="1"/>
  <c r="V31" i="1" s="1"/>
  <c r="AD30" i="1" s="1"/>
  <c r="N33" i="1"/>
  <c r="X33" i="1" s="1"/>
  <c r="AE32" i="1" s="1"/>
  <c r="N41" i="1"/>
  <c r="X41" i="1" s="1"/>
  <c r="AE40" i="1" s="1"/>
  <c r="M43" i="1"/>
  <c r="V43" i="1" s="1"/>
  <c r="AD42" i="1" s="1"/>
  <c r="P51" i="1"/>
  <c r="AB51" i="1" s="1"/>
  <c r="AG50" i="1" s="1"/>
  <c r="O55" i="1"/>
  <c r="Z55" i="1" s="1"/>
  <c r="AF54" i="1" s="1"/>
  <c r="O57" i="1"/>
  <c r="Z57" i="1" s="1"/>
  <c r="AF56" i="1" s="1"/>
  <c r="P61" i="1"/>
  <c r="AB61" i="1" s="1"/>
  <c r="AG60" i="1" s="1"/>
  <c r="AD64" i="1"/>
  <c r="M69" i="1"/>
  <c r="V69" i="1" s="1"/>
  <c r="AD68" i="1" s="1"/>
  <c r="P69" i="1"/>
  <c r="AB69" i="1" s="1"/>
  <c r="AG68" i="1" s="1"/>
  <c r="P77" i="1"/>
  <c r="AB77" i="1" s="1"/>
  <c r="AG76" i="1" s="1"/>
  <c r="N77" i="1"/>
  <c r="X77" i="1" s="1"/>
  <c r="AE76" i="1" s="1"/>
  <c r="AD80" i="1"/>
  <c r="N83" i="1"/>
  <c r="X83" i="1" s="1"/>
  <c r="AE82" i="1" s="1"/>
  <c r="AD82" i="1"/>
  <c r="N85" i="1"/>
  <c r="X85" i="1" s="1"/>
  <c r="AE84" i="1" s="1"/>
  <c r="AD84" i="1"/>
  <c r="M89" i="1"/>
  <c r="V89" i="1" s="1"/>
  <c r="AD88" i="1" s="1"/>
  <c r="P89" i="1"/>
  <c r="AB89" i="1" s="1"/>
  <c r="AG88" i="1" s="1"/>
  <c r="P91" i="1"/>
  <c r="AB91" i="1" s="1"/>
  <c r="AG90" i="1" s="1"/>
  <c r="M91" i="1"/>
  <c r="V91" i="1" s="1"/>
  <c r="AD90" i="1" s="1"/>
  <c r="AE92" i="1"/>
  <c r="P93" i="1"/>
  <c r="AB93" i="1" s="1"/>
  <c r="AG92" i="1" s="1"/>
  <c r="O95" i="1"/>
  <c r="Z95" i="1" s="1"/>
  <c r="AF94" i="1" s="1"/>
  <c r="O99" i="1"/>
  <c r="Z99" i="1" s="1"/>
  <c r="AF98" i="1" s="1"/>
  <c r="AE108" i="1"/>
  <c r="AF114" i="1"/>
  <c r="P115" i="1"/>
  <c r="O117" i="1"/>
  <c r="Z117" i="1" s="1"/>
  <c r="AF116" i="1" s="1"/>
  <c r="AE122" i="1"/>
  <c r="O125" i="1"/>
  <c r="Z125" i="1" s="1"/>
  <c r="AF124" i="1" s="1"/>
  <c r="AD128" i="1"/>
  <c r="AG128" i="1"/>
  <c r="AF130" i="1"/>
  <c r="AE130" i="1"/>
  <c r="AF136" i="1"/>
  <c r="AE136" i="1"/>
  <c r="AF138" i="1"/>
  <c r="AE138" i="1"/>
  <c r="AD140" i="1"/>
  <c r="AD164" i="1"/>
  <c r="AE164" i="1"/>
  <c r="AE168" i="1"/>
  <c r="AF172" i="1"/>
  <c r="AB183" i="1"/>
  <c r="AG182" i="1" s="1"/>
  <c r="E182" i="1"/>
  <c r="M9" i="1"/>
  <c r="V9" i="1" s="1"/>
  <c r="AD8" i="1" s="1"/>
  <c r="M11" i="1"/>
  <c r="V11" i="1" s="1"/>
  <c r="AD10" i="1" s="1"/>
  <c r="AF18" i="1"/>
  <c r="M23" i="1"/>
  <c r="V23" i="1" s="1"/>
  <c r="AD22" i="1" s="1"/>
  <c r="AF24" i="1"/>
  <c r="P33" i="1"/>
  <c r="AB33" i="1" s="1"/>
  <c r="AG32" i="1" s="1"/>
  <c r="P47" i="1"/>
  <c r="AB47" i="1" s="1"/>
  <c r="AG46" i="1" s="1"/>
  <c r="M15" i="1"/>
  <c r="V15" i="1" s="1"/>
  <c r="AD14" i="1" s="1"/>
  <c r="N29" i="1"/>
  <c r="X29" i="1" s="1"/>
  <c r="AE28" i="1" s="1"/>
  <c r="N45" i="1"/>
  <c r="X45" i="1" s="1"/>
  <c r="AE44" i="1" s="1"/>
  <c r="N49" i="1"/>
  <c r="X49" i="1" s="1"/>
  <c r="AE48" i="1" s="1"/>
  <c r="M51" i="1"/>
  <c r="V51" i="1" s="1"/>
  <c r="AD50" i="1" s="1"/>
  <c r="P63" i="1"/>
  <c r="AB63" i="1" s="1"/>
  <c r="AG62" i="1" s="1"/>
  <c r="P71" i="1"/>
  <c r="AB71" i="1" s="1"/>
  <c r="AG70" i="1" s="1"/>
  <c r="AE110" i="1"/>
  <c r="AD120" i="1"/>
  <c r="O161" i="1"/>
  <c r="Z161" i="1" s="1"/>
  <c r="AF160" i="1" s="1"/>
  <c r="P161" i="1"/>
  <c r="AF206" i="1"/>
  <c r="AE206" i="1"/>
  <c r="AD206" i="1"/>
  <c r="AG206" i="1"/>
  <c r="AE218" i="1"/>
  <c r="AD218" i="1"/>
  <c r="AF218" i="1"/>
  <c r="O5" i="1"/>
  <c r="Z5" i="1" s="1"/>
  <c r="AF4" i="1" s="1"/>
  <c r="M7" i="1"/>
  <c r="V7" i="1" s="1"/>
  <c r="AD6" i="1" s="1"/>
  <c r="O9" i="1"/>
  <c r="Z9" i="1" s="1"/>
  <c r="AF8" i="1" s="1"/>
  <c r="O11" i="1"/>
  <c r="Z11" i="1" s="1"/>
  <c r="AF10" i="1" s="1"/>
  <c r="O13" i="1"/>
  <c r="Z13" i="1" s="1"/>
  <c r="AF12" i="1" s="1"/>
  <c r="M17" i="1"/>
  <c r="V17" i="1" s="1"/>
  <c r="AD16" i="1" s="1"/>
  <c r="M21" i="1"/>
  <c r="V21" i="1" s="1"/>
  <c r="AD20" i="1" s="1"/>
  <c r="P25" i="1"/>
  <c r="AB25" i="1" s="1"/>
  <c r="AG24" i="1" s="1"/>
  <c r="AF28" i="1"/>
  <c r="AF30" i="1"/>
  <c r="O39" i="1"/>
  <c r="Z39" i="1" s="1"/>
  <c r="AF38" i="1" s="1"/>
  <c r="P41" i="1"/>
  <c r="AB41" i="1" s="1"/>
  <c r="AG40" i="1" s="1"/>
  <c r="M47" i="1"/>
  <c r="V47" i="1" s="1"/>
  <c r="AD46" i="1" s="1"/>
  <c r="AD52" i="1"/>
  <c r="M55" i="1"/>
  <c r="V55" i="1" s="1"/>
  <c r="AD54" i="1" s="1"/>
  <c r="M59" i="1"/>
  <c r="V59" i="1" s="1"/>
  <c r="AD58" i="1" s="1"/>
  <c r="AE58" i="1"/>
  <c r="N61" i="1"/>
  <c r="X61" i="1" s="1"/>
  <c r="AE60" i="1" s="1"/>
  <c r="AD60" i="1"/>
  <c r="AF64" i="1"/>
  <c r="P65" i="1"/>
  <c r="AB65" i="1" s="1"/>
  <c r="AE66" i="1"/>
  <c r="N69" i="1"/>
  <c r="X69" i="1" s="1"/>
  <c r="AE68" i="1" s="1"/>
  <c r="M73" i="1"/>
  <c r="V73" i="1" s="1"/>
  <c r="AD72" i="1" s="1"/>
  <c r="AF72" i="1"/>
  <c r="P73" i="1"/>
  <c r="AB73" i="1" s="1"/>
  <c r="AG72" i="1" s="1"/>
  <c r="P79" i="1"/>
  <c r="AB79" i="1" s="1"/>
  <c r="AG78" i="1" s="1"/>
  <c r="AE78" i="1"/>
  <c r="O79" i="1"/>
  <c r="Z79" i="1" s="1"/>
  <c r="AF78" i="1" s="1"/>
  <c r="AF80" i="1"/>
  <c r="P81" i="1"/>
  <c r="AB81" i="1" s="1"/>
  <c r="AF82" i="1"/>
  <c r="AE86" i="1"/>
  <c r="AE90" i="1"/>
  <c r="M93" i="1"/>
  <c r="V93" i="1" s="1"/>
  <c r="AF96" i="1"/>
  <c r="P99" i="1"/>
  <c r="AB99" i="1" s="1"/>
  <c r="AG98" i="1" s="1"/>
  <c r="M103" i="1"/>
  <c r="V103" i="1" s="1"/>
  <c r="AD110" i="1"/>
  <c r="M113" i="1"/>
  <c r="V113" i="1" s="1"/>
  <c r="AD112" i="1" s="1"/>
  <c r="M117" i="1"/>
  <c r="V117" i="1" s="1"/>
  <c r="AD116" i="1" s="1"/>
  <c r="AE118" i="1"/>
  <c r="AF120" i="1"/>
  <c r="M123" i="1"/>
  <c r="V123" i="1" s="1"/>
  <c r="AD122" i="1" s="1"/>
  <c r="M125" i="1"/>
  <c r="V125" i="1" s="1"/>
  <c r="AD124" i="1"/>
  <c r="P131" i="1"/>
  <c r="AD134" i="1"/>
  <c r="AG134" i="1"/>
  <c r="AD136" i="1"/>
  <c r="M139" i="1"/>
  <c r="V139" i="1" s="1"/>
  <c r="AD138" i="1" s="1"/>
  <c r="O141" i="1"/>
  <c r="Z141" i="1" s="1"/>
  <c r="AF140" i="1" s="1"/>
  <c r="P143" i="1"/>
  <c r="N143" i="1"/>
  <c r="X143" i="1" s="1"/>
  <c r="AE142" i="1" s="1"/>
  <c r="P145" i="1"/>
  <c r="AB145" i="1" s="1"/>
  <c r="N149" i="1"/>
  <c r="X149" i="1" s="1"/>
  <c r="AE148" i="1" s="1"/>
  <c r="AF152" i="1"/>
  <c r="AD152" i="1"/>
  <c r="N155" i="1"/>
  <c r="X155" i="1" s="1"/>
  <c r="AE154" i="1" s="1"/>
  <c r="O165" i="1"/>
  <c r="Z165" i="1" s="1"/>
  <c r="AF164" i="1" s="1"/>
  <c r="P165" i="1"/>
  <c r="P169" i="1"/>
  <c r="M173" i="1"/>
  <c r="V173" i="1" s="1"/>
  <c r="AD172" i="1" s="1"/>
  <c r="N173" i="1"/>
  <c r="X173" i="1" s="1"/>
  <c r="AE172" i="1" s="1"/>
  <c r="AB177" i="1"/>
  <c r="AG176" i="1" s="1"/>
  <c r="E176" i="1"/>
  <c r="N31" i="1"/>
  <c r="X31" i="1" s="1"/>
  <c r="AE30" i="1" s="1"/>
  <c r="P35" i="1"/>
  <c r="AB35" i="1" s="1"/>
  <c r="AG34" i="1" s="1"/>
  <c r="O101" i="1"/>
  <c r="Z101" i="1" s="1"/>
  <c r="AF100" i="1" s="1"/>
  <c r="P119" i="1"/>
  <c r="AF126" i="1"/>
  <c r="AE126" i="1"/>
  <c r="N153" i="1"/>
  <c r="X153" i="1" s="1"/>
  <c r="AE152" i="1" s="1"/>
  <c r="P153" i="1"/>
  <c r="O155" i="1"/>
  <c r="Z155" i="1" s="1"/>
  <c r="AF154" i="1" s="1"/>
  <c r="AF174" i="1"/>
  <c r="AD174" i="1"/>
  <c r="AF180" i="1"/>
  <c r="N57" i="1"/>
  <c r="X57" i="1" s="1"/>
  <c r="AE56" i="1" s="1"/>
  <c r="M57" i="1"/>
  <c r="V57" i="1" s="1"/>
  <c r="AD56" i="1" s="1"/>
  <c r="N63" i="1"/>
  <c r="X63" i="1" s="1"/>
  <c r="AE62" i="1" s="1"/>
  <c r="AD62" i="1"/>
  <c r="AG64" i="1"/>
  <c r="AF66" i="1"/>
  <c r="P67" i="1"/>
  <c r="AB67" i="1" s="1"/>
  <c r="AG66" i="1" s="1"/>
  <c r="N71" i="1"/>
  <c r="X71" i="1" s="1"/>
  <c r="AE70" i="1" s="1"/>
  <c r="AD70" i="1"/>
  <c r="M75" i="1"/>
  <c r="V75" i="1" s="1"/>
  <c r="AD74" i="1" s="1"/>
  <c r="AF74" i="1"/>
  <c r="P75" i="1"/>
  <c r="AB75" i="1" s="1"/>
  <c r="AG74" i="1" s="1"/>
  <c r="M77" i="1"/>
  <c r="V77" i="1" s="1"/>
  <c r="AD76" i="1" s="1"/>
  <c r="AG80" i="1"/>
  <c r="M87" i="1"/>
  <c r="V87" i="1" s="1"/>
  <c r="AD86" i="1" s="1"/>
  <c r="AF86" i="1"/>
  <c r="P87" i="1"/>
  <c r="AB87" i="1" s="1"/>
  <c r="AG86" i="1" s="1"/>
  <c r="O89" i="1"/>
  <c r="Z89" i="1" s="1"/>
  <c r="AF88" i="1" s="1"/>
  <c r="AF90" i="1"/>
  <c r="AD92" i="1"/>
  <c r="AE94" i="1"/>
  <c r="P101" i="1"/>
  <c r="AB101" i="1" s="1"/>
  <c r="AG100" i="1" s="1"/>
  <c r="AD102" i="1"/>
  <c r="O105" i="1"/>
  <c r="Z105" i="1" s="1"/>
  <c r="AF104" i="1" s="1"/>
  <c r="AE106" i="1"/>
  <c r="AF110" i="1"/>
  <c r="P113" i="1"/>
  <c r="AD114" i="1"/>
  <c r="P117" i="1"/>
  <c r="N125" i="1"/>
  <c r="X125" i="1" s="1"/>
  <c r="AE124" i="1" s="1"/>
  <c r="AD126" i="1"/>
  <c r="O133" i="1"/>
  <c r="Z133" i="1" s="1"/>
  <c r="AF132" i="1" s="1"/>
  <c r="M133" i="1"/>
  <c r="V133" i="1" s="1"/>
  <c r="AD132" i="1" s="1"/>
  <c r="AE132" i="1"/>
  <c r="AG136" i="1"/>
  <c r="P141" i="1"/>
  <c r="AF142" i="1"/>
  <c r="AD144" i="1"/>
  <c r="AG144" i="1"/>
  <c r="P149" i="1"/>
  <c r="AF162" i="1"/>
  <c r="N175" i="1"/>
  <c r="X175" i="1" s="1"/>
  <c r="AE174" i="1" s="1"/>
  <c r="P175" i="1"/>
  <c r="AF178" i="1"/>
  <c r="N181" i="1"/>
  <c r="X181" i="1" s="1"/>
  <c r="AE180" i="1" s="1"/>
  <c r="M181" i="1"/>
  <c r="V181" i="1" s="1"/>
  <c r="AD180" i="1" s="1"/>
  <c r="E186" i="1"/>
  <c r="AB187" i="1"/>
  <c r="AG186" i="1" s="1"/>
  <c r="M191" i="1"/>
  <c r="V191" i="1" s="1"/>
  <c r="AD190" i="1" s="1"/>
  <c r="P191" i="1"/>
  <c r="AD220" i="1"/>
  <c r="AG220" i="1"/>
  <c r="AF220" i="1"/>
  <c r="AD228" i="1"/>
  <c r="AF228" i="1"/>
  <c r="P181" i="1"/>
  <c r="M193" i="1"/>
  <c r="V193" i="1" s="1"/>
  <c r="P193" i="1"/>
  <c r="O193" i="1"/>
  <c r="Z193" i="1" s="1"/>
  <c r="AF192" i="1" s="1"/>
  <c r="AB253" i="1"/>
  <c r="AG252" i="1" s="1"/>
  <c r="E252" i="1"/>
  <c r="AG256" i="1"/>
  <c r="AF256" i="1"/>
  <c r="AE256" i="1"/>
  <c r="AD256" i="1"/>
  <c r="AD268" i="1"/>
  <c r="AE268" i="1"/>
  <c r="AF268" i="1"/>
  <c r="N145" i="1"/>
  <c r="X145" i="1" s="1"/>
  <c r="AE144" i="1" s="1"/>
  <c r="AF146" i="1"/>
  <c r="AF148" i="1"/>
  <c r="AD154" i="1"/>
  <c r="O159" i="1"/>
  <c r="Z159" i="1" s="1"/>
  <c r="AF158" i="1" s="1"/>
  <c r="P159" i="1"/>
  <c r="M167" i="1"/>
  <c r="V167" i="1" s="1"/>
  <c r="AD166" i="1" s="1"/>
  <c r="O167" i="1"/>
  <c r="Z167" i="1" s="1"/>
  <c r="AF166" i="1" s="1"/>
  <c r="P167" i="1"/>
  <c r="O183" i="1"/>
  <c r="Z183" i="1" s="1"/>
  <c r="AF182" i="1" s="1"/>
  <c r="M183" i="1"/>
  <c r="V183" i="1" s="1"/>
  <c r="AD182" i="1" s="1"/>
  <c r="AE184" i="1"/>
  <c r="O187" i="1"/>
  <c r="Z187" i="1" s="1"/>
  <c r="AF186" i="1" s="1"/>
  <c r="E188" i="1"/>
  <c r="AG204" i="1"/>
  <c r="AF204" i="1"/>
  <c r="AD204" i="1"/>
  <c r="AE204" i="1"/>
  <c r="AE208" i="1"/>
  <c r="AD208" i="1"/>
  <c r="AF208" i="1"/>
  <c r="AG208" i="1"/>
  <c r="AD210" i="1"/>
  <c r="AG210" i="1"/>
  <c r="AE210" i="1"/>
  <c r="O235" i="1"/>
  <c r="Z235" i="1" s="1"/>
  <c r="N235" i="1"/>
  <c r="X235" i="1" s="1"/>
  <c r="AE234" i="1" s="1"/>
  <c r="AD240" i="1"/>
  <c r="AG240" i="1"/>
  <c r="AF240" i="1"/>
  <c r="AE240" i="1"/>
  <c r="AB249" i="1"/>
  <c r="AG248" i="1" s="1"/>
  <c r="E248" i="1"/>
  <c r="AF260" i="1"/>
  <c r="AE260" i="1"/>
  <c r="AD260" i="1"/>
  <c r="AG260" i="1"/>
  <c r="M147" i="1"/>
  <c r="V147" i="1" s="1"/>
  <c r="AD146" i="1" s="1"/>
  <c r="P157" i="1"/>
  <c r="AD170" i="1"/>
  <c r="N179" i="1"/>
  <c r="X179" i="1" s="1"/>
  <c r="AE178" i="1" s="1"/>
  <c r="P185" i="1"/>
  <c r="AF194" i="1"/>
  <c r="AE194" i="1"/>
  <c r="AD194" i="1"/>
  <c r="AG198" i="1"/>
  <c r="AF198" i="1"/>
  <c r="O223" i="1"/>
  <c r="Z223" i="1" s="1"/>
  <c r="AF222" i="1" s="1"/>
  <c r="AE242" i="1"/>
  <c r="AF242" i="1"/>
  <c r="AF156" i="1"/>
  <c r="P163" i="1"/>
  <c r="N167" i="1"/>
  <c r="X167" i="1" s="1"/>
  <c r="AE166" i="1" s="1"/>
  <c r="P173" i="1"/>
  <c r="N177" i="1"/>
  <c r="X177" i="1" s="1"/>
  <c r="AE176" i="1" s="1"/>
  <c r="AD192" i="1"/>
  <c r="E194" i="1"/>
  <c r="AB195" i="1"/>
  <c r="AG194" i="1" s="1"/>
  <c r="AE196" i="1"/>
  <c r="AD196" i="1"/>
  <c r="AD202" i="1"/>
  <c r="AG202" i="1"/>
  <c r="E218" i="1"/>
  <c r="AG222" i="1"/>
  <c r="AG224" i="1"/>
  <c r="AF224" i="1"/>
  <c r="M227" i="1"/>
  <c r="V227" i="1" s="1"/>
  <c r="AD226" i="1" s="1"/>
  <c r="P229" i="1"/>
  <c r="AB229" i="1" s="1"/>
  <c r="AG228" i="1" s="1"/>
  <c r="N229" i="1"/>
  <c r="X229" i="1" s="1"/>
  <c r="AE228" i="1" s="1"/>
  <c r="AE230" i="1"/>
  <c r="AD230" i="1"/>
  <c r="AD244" i="1"/>
  <c r="AG244" i="1"/>
  <c r="AF250" i="1"/>
  <c r="AG250" i="1"/>
  <c r="AE250" i="1"/>
  <c r="E274" i="1"/>
  <c r="AB217" i="1"/>
  <c r="AG216" i="1" s="1"/>
  <c r="E216" i="1"/>
  <c r="M223" i="1"/>
  <c r="V223" i="1" s="1"/>
  <c r="AD222" i="1" s="1"/>
  <c r="AF234" i="1"/>
  <c r="AF238" i="1"/>
  <c r="E246" i="1"/>
  <c r="AB247" i="1"/>
  <c r="AG246" i="1" s="1"/>
  <c r="AE266" i="1"/>
  <c r="P155" i="1"/>
  <c r="P171" i="1"/>
  <c r="M179" i="1"/>
  <c r="V179" i="1" s="1"/>
  <c r="AD178" i="1" s="1"/>
  <c r="M185" i="1"/>
  <c r="V185" i="1" s="1"/>
  <c r="AD184" i="1" s="1"/>
  <c r="AF188" i="1"/>
  <c r="AF190" i="1"/>
  <c r="AF196" i="1"/>
  <c r="AE200" i="1"/>
  <c r="AD200" i="1"/>
  <c r="AF202" i="1"/>
  <c r="AG212" i="1"/>
  <c r="AF212" i="1"/>
  <c r="P235" i="1"/>
  <c r="AD238" i="1"/>
  <c r="E268" i="1"/>
  <c r="AE308" i="1"/>
  <c r="AG308" i="1"/>
  <c r="AF308" i="1"/>
  <c r="AE316" i="1"/>
  <c r="AG316" i="1"/>
  <c r="AF316" i="1"/>
  <c r="AE324" i="1"/>
  <c r="AG324" i="1"/>
  <c r="AF324" i="1"/>
  <c r="E298" i="1"/>
  <c r="AB299" i="1"/>
  <c r="AG298" i="1" s="1"/>
  <c r="AG310" i="1"/>
  <c r="AF310" i="1"/>
  <c r="AE310" i="1"/>
  <c r="AG318" i="1"/>
  <c r="AF318" i="1"/>
  <c r="AE318" i="1"/>
  <c r="AG326" i="1"/>
  <c r="AF326" i="1"/>
  <c r="AE326" i="1"/>
  <c r="AG236" i="1"/>
  <c r="AF246" i="1"/>
  <c r="AD248" i="1"/>
  <c r="AD254" i="1"/>
  <c r="AD264" i="1"/>
  <c r="AF264" i="1"/>
  <c r="E306" i="1"/>
  <c r="AB307" i="1"/>
  <c r="AG306" i="1" s="1"/>
  <c r="AE312" i="1"/>
  <c r="AG312" i="1"/>
  <c r="AF312" i="1"/>
  <c r="AE320" i="1"/>
  <c r="AG320" i="1"/>
  <c r="AF320" i="1"/>
  <c r="M235" i="1"/>
  <c r="V235" i="1" s="1"/>
  <c r="AD234" i="1" s="1"/>
  <c r="AB243" i="1"/>
  <c r="AG242" i="1" s="1"/>
  <c r="E242" i="1"/>
  <c r="AE252" i="1"/>
  <c r="AF258" i="1"/>
  <c r="AF262" i="1"/>
  <c r="AD262" i="1"/>
  <c r="AF266" i="1"/>
  <c r="AD308" i="1"/>
  <c r="AG314" i="1"/>
  <c r="AF314" i="1"/>
  <c r="AE314" i="1"/>
  <c r="AD316" i="1"/>
  <c r="AG322" i="1"/>
  <c r="AF322" i="1"/>
  <c r="AE322" i="1"/>
  <c r="AD324" i="1"/>
  <c r="AD330" i="1"/>
  <c r="AF330" i="1"/>
  <c r="AE330" i="1"/>
  <c r="AF298" i="1"/>
  <c r="AF306" i="1"/>
  <c r="AF292" i="1"/>
  <c r="AD298" i="1"/>
  <c r="AF300" i="1"/>
  <c r="AD306" i="1"/>
  <c r="E328" i="1"/>
  <c r="AF328" i="1"/>
  <c r="AE270" i="1"/>
  <c r="AE274" i="1"/>
  <c r="AE278" i="1"/>
  <c r="AE282" i="1"/>
  <c r="AE286" i="1"/>
  <c r="AD290" i="1"/>
  <c r="AG292" i="1"/>
  <c r="AD296" i="1"/>
  <c r="AE298" i="1"/>
  <c r="AG300" i="1"/>
  <c r="AB303" i="1"/>
  <c r="AG302" i="1" s="1"/>
  <c r="AD304" i="1"/>
  <c r="AE306" i="1"/>
  <c r="E308" i="1"/>
  <c r="AD328" i="1"/>
  <c r="AB151" i="1" l="1"/>
  <c r="AG150" i="1" s="1"/>
  <c r="E124" i="1"/>
  <c r="AB85" i="1"/>
  <c r="AG84" i="1" s="1"/>
  <c r="AB121" i="1"/>
  <c r="AG120" i="1" s="1"/>
  <c r="AB11" i="1"/>
  <c r="AG10" i="1" s="1"/>
  <c r="AB109" i="1"/>
  <c r="AG108" i="1" s="1"/>
  <c r="AB271" i="1"/>
  <c r="AG270" i="1" s="1"/>
  <c r="E270" i="1"/>
  <c r="AB233" i="1"/>
  <c r="AG232" i="1" s="1"/>
  <c r="E232" i="1"/>
  <c r="AB123" i="1"/>
  <c r="AG122" i="1" s="1"/>
  <c r="AB147" i="1"/>
  <c r="AG146" i="1" s="1"/>
  <c r="E146" i="1"/>
  <c r="E106" i="1"/>
  <c r="AB9" i="1"/>
  <c r="AG8" i="1" s="1"/>
  <c r="E128" i="1"/>
  <c r="AB179" i="1"/>
  <c r="AG178" i="1" s="1"/>
  <c r="E178" i="1"/>
  <c r="E170" i="1"/>
  <c r="AB171" i="1"/>
  <c r="AG170" i="1" s="1"/>
  <c r="AB191" i="1"/>
  <c r="AG190" i="1" s="1"/>
  <c r="E190" i="1"/>
  <c r="AB141" i="1"/>
  <c r="AG140" i="1" s="1"/>
  <c r="E140" i="1"/>
  <c r="E116" i="1"/>
  <c r="AB117" i="1"/>
  <c r="AG116" i="1" s="1"/>
  <c r="AB165" i="1"/>
  <c r="AG164" i="1" s="1"/>
  <c r="E164" i="1"/>
  <c r="E234" i="1"/>
  <c r="AB235" i="1"/>
  <c r="AG234" i="1" s="1"/>
  <c r="AB149" i="1"/>
  <c r="AG148" i="1" s="1"/>
  <c r="E148" i="1"/>
  <c r="AB153" i="1"/>
  <c r="AG152" i="1" s="1"/>
  <c r="E152" i="1"/>
  <c r="AB119" i="1"/>
  <c r="AG118" i="1" s="1"/>
  <c r="E118" i="1"/>
  <c r="AB169" i="1"/>
  <c r="AG168" i="1" s="1"/>
  <c r="E168" i="1"/>
  <c r="E130" i="1"/>
  <c r="AB131" i="1"/>
  <c r="AG130" i="1" s="1"/>
  <c r="AB163" i="1"/>
  <c r="AG162" i="1" s="1"/>
  <c r="E162" i="1"/>
  <c r="AB157" i="1"/>
  <c r="AG156" i="1" s="1"/>
  <c r="E156" i="1"/>
  <c r="AB155" i="1"/>
  <c r="AG154" i="1" s="1"/>
  <c r="E154" i="1"/>
  <c r="AB159" i="1"/>
  <c r="AG158" i="1" s="1"/>
  <c r="E158" i="1"/>
  <c r="E142" i="1"/>
  <c r="AB143" i="1"/>
  <c r="AG142" i="1" s="1"/>
  <c r="AB161" i="1"/>
  <c r="AG160" i="1" s="1"/>
  <c r="E160" i="1"/>
  <c r="E180" i="1"/>
  <c r="AB181" i="1"/>
  <c r="AG180" i="1" s="1"/>
  <c r="AB175" i="1"/>
  <c r="AG174" i="1" s="1"/>
  <c r="E174" i="1"/>
  <c r="AB173" i="1"/>
  <c r="AG172" i="1" s="1"/>
  <c r="E172" i="1"/>
  <c r="E184" i="1"/>
  <c r="AB185" i="1"/>
  <c r="AG184" i="1" s="1"/>
  <c r="AB167" i="1"/>
  <c r="AG166" i="1" s="1"/>
  <c r="E166" i="1"/>
  <c r="AB193" i="1"/>
  <c r="AG192" i="1" s="1"/>
  <c r="E192" i="1"/>
  <c r="E112" i="1"/>
  <c r="AB113" i="1"/>
  <c r="AG112" i="1" s="1"/>
  <c r="AB115" i="1"/>
  <c r="AG114" i="1" s="1"/>
  <c r="E114" i="1"/>
</calcChain>
</file>

<file path=xl/sharedStrings.xml><?xml version="1.0" encoding="utf-8"?>
<sst xmlns="http://schemas.openxmlformats.org/spreadsheetml/2006/main" count="3846" uniqueCount="341">
  <si>
    <t>غذا/محتویات</t>
  </si>
  <si>
    <t>حجم</t>
  </si>
  <si>
    <t>سروینگ</t>
  </si>
  <si>
    <t>مقدار</t>
  </si>
  <si>
    <t>کالری</t>
  </si>
  <si>
    <t>گوشت</t>
  </si>
  <si>
    <t>سیب زمینی</t>
  </si>
  <si>
    <t>لوبیا</t>
  </si>
  <si>
    <t>نخود</t>
  </si>
  <si>
    <t>گوجه</t>
  </si>
  <si>
    <t>پیاز</t>
  </si>
  <si>
    <t>پروتئین</t>
  </si>
  <si>
    <t>کربوهیدرات</t>
  </si>
  <si>
    <t>چربی</t>
  </si>
  <si>
    <t>روزهای هفته</t>
  </si>
  <si>
    <t>صبحانه</t>
  </si>
  <si>
    <t>میان وعده صبح</t>
  </si>
  <si>
    <t>ناهار</t>
  </si>
  <si>
    <t>میان وعده عصر</t>
  </si>
  <si>
    <t>شام</t>
  </si>
  <si>
    <t>اخرشب</t>
  </si>
  <si>
    <t>آبگوشت ساده</t>
  </si>
  <si>
    <t>کاسه</t>
  </si>
  <si>
    <t>پرو</t>
  </si>
  <si>
    <t>کربو</t>
  </si>
  <si>
    <t>شنبه</t>
  </si>
  <si>
    <t>مرغ</t>
  </si>
  <si>
    <t>لپه</t>
  </si>
  <si>
    <t>آبگوشت مرغ</t>
  </si>
  <si>
    <t>وعده غذایی</t>
  </si>
  <si>
    <t>نانها</t>
  </si>
  <si>
    <t>پنیر و تخم مرغ</t>
  </si>
  <si>
    <t>سبزیجات</t>
  </si>
  <si>
    <t>چربی ها</t>
  </si>
  <si>
    <t>نوشیدنی ها</t>
  </si>
  <si>
    <t>انرژی</t>
  </si>
  <si>
    <t>آرد گندم</t>
  </si>
  <si>
    <t>تخم مرغ</t>
  </si>
  <si>
    <t>شنبلیله</t>
  </si>
  <si>
    <t>نان لواش</t>
  </si>
  <si>
    <t>گردو</t>
  </si>
  <si>
    <t>شیر 2% چربی</t>
  </si>
  <si>
    <t>اشکنه</t>
  </si>
  <si>
    <t>نان(به طور میانگین)</t>
  </si>
  <si>
    <t>کره بادام زمینی</t>
  </si>
  <si>
    <t>یکشنبه</t>
  </si>
  <si>
    <t>گوشت قرمز</t>
  </si>
  <si>
    <t>هویج</t>
  </si>
  <si>
    <t xml:space="preserve">روغن </t>
  </si>
  <si>
    <t>تاس کباب</t>
  </si>
  <si>
    <t>لوبیا سبز</t>
  </si>
  <si>
    <t>روغن</t>
  </si>
  <si>
    <t>دوشنبه</t>
  </si>
  <si>
    <t>تاس کباب لوبیا سبز</t>
  </si>
  <si>
    <t>گوشت چرخ کرده</t>
  </si>
  <si>
    <t xml:space="preserve">بادمجان </t>
  </si>
  <si>
    <t>میان1</t>
  </si>
  <si>
    <t>تاس کباب کوفته بادمجان</t>
  </si>
  <si>
    <t>میان2</t>
  </si>
  <si>
    <t>سه شنبه</t>
  </si>
  <si>
    <t xml:space="preserve">آرد نخودچی </t>
  </si>
  <si>
    <t>میان3</t>
  </si>
  <si>
    <t>تاس کباب کوفته ریزه</t>
  </si>
  <si>
    <t>برنج</t>
  </si>
  <si>
    <t>بلغور گندم</t>
  </si>
  <si>
    <t>لوبیا سفید</t>
  </si>
  <si>
    <t>چهارشنبه</t>
  </si>
  <si>
    <t>آش آبغوره</t>
  </si>
  <si>
    <t>آلو تازه</t>
  </si>
  <si>
    <t xml:space="preserve">سبزی آش </t>
  </si>
  <si>
    <t>آش آلو</t>
  </si>
  <si>
    <t>پنج شنبه</t>
  </si>
  <si>
    <t>جو</t>
  </si>
  <si>
    <t>عدس</t>
  </si>
  <si>
    <t>کشک</t>
  </si>
  <si>
    <t xml:space="preserve">پیاز </t>
  </si>
  <si>
    <t>آش</t>
  </si>
  <si>
    <t>آش جو</t>
  </si>
  <si>
    <t>کف دست</t>
  </si>
  <si>
    <t>سوپ</t>
  </si>
  <si>
    <t>لوبیا چیتی</t>
  </si>
  <si>
    <t>رشته خام</t>
  </si>
  <si>
    <t>سبزی آش</t>
  </si>
  <si>
    <t>لیوان</t>
  </si>
  <si>
    <t>جمعه</t>
  </si>
  <si>
    <t>آش رشته</t>
  </si>
  <si>
    <t>قاشق</t>
  </si>
  <si>
    <t>خورشت</t>
  </si>
  <si>
    <t>سبزی</t>
  </si>
  <si>
    <t>گرم</t>
  </si>
  <si>
    <t>پلو</t>
  </si>
  <si>
    <t>آش گوجه</t>
  </si>
  <si>
    <t>آخرشب</t>
  </si>
  <si>
    <t>استکان</t>
  </si>
  <si>
    <t>کباب</t>
  </si>
  <si>
    <t>ماست</t>
  </si>
  <si>
    <t>عدد</t>
  </si>
  <si>
    <t>کوفته</t>
  </si>
  <si>
    <t>آش ماست</t>
  </si>
  <si>
    <t>کوکو</t>
  </si>
  <si>
    <t>گندم</t>
  </si>
  <si>
    <t>نان</t>
  </si>
  <si>
    <t>حلیم گندم</t>
  </si>
  <si>
    <t>خوراک</t>
  </si>
  <si>
    <t>شیر</t>
  </si>
  <si>
    <t>جعفری</t>
  </si>
  <si>
    <t>پاستا</t>
  </si>
  <si>
    <t>سوپ جو</t>
  </si>
  <si>
    <t>برگر</t>
  </si>
  <si>
    <t>ورمیشل</t>
  </si>
  <si>
    <t>میوه</t>
  </si>
  <si>
    <t>سوپ ورمیشل</t>
  </si>
  <si>
    <t>کره</t>
  </si>
  <si>
    <t>آرد</t>
  </si>
  <si>
    <t>مغز ها</t>
  </si>
  <si>
    <t>سوپ عدس</t>
  </si>
  <si>
    <t>لبنیات</t>
  </si>
  <si>
    <t>گل کلم</t>
  </si>
  <si>
    <t>سوپ گل کلم</t>
  </si>
  <si>
    <t>حجم (گرم)</t>
  </si>
  <si>
    <t>تعداد  قاشق</t>
  </si>
  <si>
    <t>برنج سفید ( کته)+ فیبر</t>
  </si>
  <si>
    <t>تعداد قاشق</t>
  </si>
  <si>
    <t>برنج سفید آب کش</t>
  </si>
  <si>
    <t xml:space="preserve"> باقالی</t>
  </si>
  <si>
    <t>شوید</t>
  </si>
  <si>
    <t>باقلا پلو</t>
  </si>
  <si>
    <t xml:space="preserve">برنج </t>
  </si>
  <si>
    <t>زرده تخم مرغ</t>
  </si>
  <si>
    <t>ته چین مرغ</t>
  </si>
  <si>
    <t>رب</t>
  </si>
  <si>
    <t xml:space="preserve">کته گوجه </t>
  </si>
  <si>
    <t>رشته پلویی</t>
  </si>
  <si>
    <t>کشمش</t>
  </si>
  <si>
    <t>رشته پلو</t>
  </si>
  <si>
    <t>زرشک پلو</t>
  </si>
  <si>
    <t>عدس پلو با گوشت</t>
  </si>
  <si>
    <t>عدس پلو</t>
  </si>
  <si>
    <t>کلم</t>
  </si>
  <si>
    <t>کلم پلو</t>
  </si>
  <si>
    <t xml:space="preserve">لوبیا </t>
  </si>
  <si>
    <t>لوبیا پلو</t>
  </si>
  <si>
    <t>زیره</t>
  </si>
  <si>
    <t>زیره پلو</t>
  </si>
  <si>
    <t>شکر</t>
  </si>
  <si>
    <t>شیرین پلو</t>
  </si>
  <si>
    <t>باقله</t>
  </si>
  <si>
    <t>باقالی پلو با مرغ</t>
  </si>
  <si>
    <t xml:space="preserve">سبزی </t>
  </si>
  <si>
    <t xml:space="preserve">سبزی پلو </t>
  </si>
  <si>
    <t>هویج پلو</t>
  </si>
  <si>
    <t>میگو</t>
  </si>
  <si>
    <t>میگو پلو</t>
  </si>
  <si>
    <t>استانبولی پلو(لوبیا سبز)</t>
  </si>
  <si>
    <t>لوبیا چشم بلبلی</t>
  </si>
  <si>
    <t>لوبیا پلو( چشم بلبلی)</t>
  </si>
  <si>
    <t>آلبالو</t>
  </si>
  <si>
    <t>آلبالو پلو</t>
  </si>
  <si>
    <t>آلو بخارا</t>
  </si>
  <si>
    <t>خورشت آلو بخارا</t>
  </si>
  <si>
    <t>کنگر</t>
  </si>
  <si>
    <t>خورشت کنگر</t>
  </si>
  <si>
    <t>بادمجان</t>
  </si>
  <si>
    <t>خورشت بادمجان</t>
  </si>
  <si>
    <t>بامیه</t>
  </si>
  <si>
    <t>زب</t>
  </si>
  <si>
    <t>خورشت بامیه</t>
  </si>
  <si>
    <t>به</t>
  </si>
  <si>
    <t>خورشت به</t>
  </si>
  <si>
    <t>رب انار</t>
  </si>
  <si>
    <t>خورشت فسنجان</t>
  </si>
  <si>
    <t>سبزی قورمه</t>
  </si>
  <si>
    <t>خورشت قورمه سبزی</t>
  </si>
  <si>
    <t>خورشت قیمه</t>
  </si>
  <si>
    <t>کرفس</t>
  </si>
  <si>
    <t>خورشت کرفس</t>
  </si>
  <si>
    <t>رب گوجه فرنگی</t>
  </si>
  <si>
    <t>خورشت لوبیا سبز</t>
  </si>
  <si>
    <t>خورشت گل کلم</t>
  </si>
  <si>
    <t>ماهی</t>
  </si>
  <si>
    <t>تمبر هندی</t>
  </si>
  <si>
    <t>خورشت قلیه ماهی</t>
  </si>
  <si>
    <t>مرغ پخته شده</t>
  </si>
  <si>
    <t>ران مرغ آب پز</t>
  </si>
  <si>
    <t>مرغ پخته</t>
  </si>
  <si>
    <t>سینه مرغ پخته</t>
  </si>
  <si>
    <t xml:space="preserve"> روغن</t>
  </si>
  <si>
    <t>کوکو بادمجان</t>
  </si>
  <si>
    <t>سبزی کوکو</t>
  </si>
  <si>
    <t>کوکو سبزی</t>
  </si>
  <si>
    <t>کوکو سیب زمینی</t>
  </si>
  <si>
    <t>کوکو گوشت</t>
  </si>
  <si>
    <t>سینه مرغ</t>
  </si>
  <si>
    <t>کوکو مرغ</t>
  </si>
  <si>
    <t>اسفناج</t>
  </si>
  <si>
    <t>کوکو اسفناج</t>
  </si>
  <si>
    <t>کوکو لوبیا سبز</t>
  </si>
  <si>
    <t>بروکلی</t>
  </si>
  <si>
    <t>کوکو بروکلی</t>
  </si>
  <si>
    <t>شامی کباب</t>
  </si>
  <si>
    <t>آرد سوخاری</t>
  </si>
  <si>
    <t>کتلت</t>
  </si>
  <si>
    <t>گوشت کوبیده</t>
  </si>
  <si>
    <t>کباب کوبیده</t>
  </si>
  <si>
    <t>گوشت ران گوسفند</t>
  </si>
  <si>
    <t>کباب برگ</t>
  </si>
  <si>
    <t>کباب ماهی تابه ای</t>
  </si>
  <si>
    <t>گوشت کوبیده مرغ</t>
  </si>
  <si>
    <t>کباب کوبیده مرغ</t>
  </si>
  <si>
    <t>سینه مرغ مزه دار شده</t>
  </si>
  <si>
    <t>جوجه کباب لاری</t>
  </si>
  <si>
    <t>ماهی مزه دار شده</t>
  </si>
  <si>
    <t>ماهی کباب</t>
  </si>
  <si>
    <t>سینه بوقلمون مزه دار شده</t>
  </si>
  <si>
    <t>کباب بوقلمون</t>
  </si>
  <si>
    <t>کوفته سبزی</t>
  </si>
  <si>
    <t>کوفته تبریزی</t>
  </si>
  <si>
    <t>برانی اسفناج</t>
  </si>
  <si>
    <t>برانی کنگر</t>
  </si>
  <si>
    <t>نرگسی اسفناج</t>
  </si>
  <si>
    <t>گوشت ران</t>
  </si>
  <si>
    <t>بیف استرگانف</t>
  </si>
  <si>
    <t>خوراک گوشت بادمجان</t>
  </si>
  <si>
    <t>حلیم بادمجان</t>
  </si>
  <si>
    <t>بادمجان کبابی</t>
  </si>
  <si>
    <t>قارچ</t>
  </si>
  <si>
    <t>خوراک بادمجان و قارچ</t>
  </si>
  <si>
    <t>املت قارچ</t>
  </si>
  <si>
    <t>گوجه فرنگی</t>
  </si>
  <si>
    <t>املت گوجه فرنگی</t>
  </si>
  <si>
    <t>سوسیسس 90%</t>
  </si>
  <si>
    <t>سوسیس بندری</t>
  </si>
  <si>
    <t>کشک بادمجان</t>
  </si>
  <si>
    <t>لازانیا خشک</t>
  </si>
  <si>
    <t>پنیر پیتزا</t>
  </si>
  <si>
    <t>نخود فرنگی</t>
  </si>
  <si>
    <t>لازانیا گوشت و سبزیجات</t>
  </si>
  <si>
    <t>ماکارونی</t>
  </si>
  <si>
    <t>گوشت چرخ کر ده</t>
  </si>
  <si>
    <t>ماکارونی و گوشت چرخ کرده</t>
  </si>
  <si>
    <t>سوبا</t>
  </si>
  <si>
    <t>ماکارونی و سویا</t>
  </si>
  <si>
    <t>سالاد ماکارونی رژیمی</t>
  </si>
  <si>
    <t>بادمجان درشت</t>
  </si>
  <si>
    <t>دلمه بادمجان</t>
  </si>
  <si>
    <t>فلفل دلمه</t>
  </si>
  <si>
    <t>دلمه فلفل دلمه</t>
  </si>
  <si>
    <t>دلمه پیاز</t>
  </si>
  <si>
    <t>دلمه گوجه فرنگی</t>
  </si>
  <si>
    <t>دلمه کدو</t>
  </si>
  <si>
    <t xml:space="preserve">خیارشور </t>
  </si>
  <si>
    <t>سالاد الویه بدون سس</t>
  </si>
  <si>
    <t>مایونز</t>
  </si>
  <si>
    <t xml:space="preserve">فیله مرغ </t>
  </si>
  <si>
    <t>ارد سوخاری</t>
  </si>
  <si>
    <t>شنتسل مرغ</t>
  </si>
  <si>
    <t>فیله مرغ</t>
  </si>
  <si>
    <t>مرغ سوخاری</t>
  </si>
  <si>
    <t>ناگت مرغ آماده</t>
  </si>
  <si>
    <t xml:space="preserve">ناگت </t>
  </si>
  <si>
    <t>سیب زمینی سرخ کرده خانگی</t>
  </si>
  <si>
    <t>سیب زمینی آب پز</t>
  </si>
  <si>
    <t xml:space="preserve"> سیب زمینی پخته</t>
  </si>
  <si>
    <t>پوره سیب زمینی</t>
  </si>
  <si>
    <t xml:space="preserve">فلافل آماده </t>
  </si>
  <si>
    <t>فلافل سرخ شده (3-4 عدد)</t>
  </si>
  <si>
    <t>همبر 60% گوشت ذغالی بدون نان</t>
  </si>
  <si>
    <t>همبر 75% گوشت ذغالی بدون نان</t>
  </si>
  <si>
    <t>همبر 90% گوشت ذغالی بدون نان</t>
  </si>
  <si>
    <t>ساندویچ همبرگر آماده</t>
  </si>
  <si>
    <t>خیار</t>
  </si>
  <si>
    <t>کاهو</t>
  </si>
  <si>
    <t xml:space="preserve">هویج </t>
  </si>
  <si>
    <t>سینه مرغ پخته شده</t>
  </si>
  <si>
    <t>سالاد مرغ و سبزیجات</t>
  </si>
  <si>
    <t>پنیر چدار</t>
  </si>
  <si>
    <t>روغن زیتون</t>
  </si>
  <si>
    <t>سرکه</t>
  </si>
  <si>
    <t>سالاد نخودفرنگی و کاهو</t>
  </si>
  <si>
    <t>تن ماهی</t>
  </si>
  <si>
    <t>سالاد اسفناج با تن ماهی</t>
  </si>
  <si>
    <t>آووکادو</t>
  </si>
  <si>
    <t>آبلیمو</t>
  </si>
  <si>
    <t>trace</t>
  </si>
  <si>
    <t>سالاد اووکادو و تن ماهی</t>
  </si>
  <si>
    <t>برنج گل کلم</t>
  </si>
  <si>
    <t>شیر(ml)</t>
  </si>
  <si>
    <t>عسل</t>
  </si>
  <si>
    <t>جودوسر</t>
  </si>
  <si>
    <t>اوتمیل میوه و مغزها</t>
  </si>
  <si>
    <t>نان تست کامل</t>
  </si>
  <si>
    <t>موز</t>
  </si>
  <si>
    <t>ساندویچ کره بادام زمینی و موز</t>
  </si>
  <si>
    <t>سیب</t>
  </si>
  <si>
    <t>شیر(میلی لیتر)</t>
  </si>
  <si>
    <t>گرین اسموتی</t>
  </si>
  <si>
    <t>نان بربری</t>
  </si>
  <si>
    <t>نان سنگک</t>
  </si>
  <si>
    <t>نان ساندویچی</t>
  </si>
  <si>
    <t>نان تست چند غله</t>
  </si>
  <si>
    <t>نان تست</t>
  </si>
  <si>
    <t>نان تست جو</t>
  </si>
  <si>
    <t>ماست پرچرب</t>
  </si>
  <si>
    <t>ماست کم چرب</t>
  </si>
  <si>
    <t>ماست لاکتیویا 4.5% پربی</t>
  </si>
  <si>
    <t>ماست ایسلندی</t>
  </si>
  <si>
    <t>ماست موسیر</t>
  </si>
  <si>
    <t>شیر 3% چربی</t>
  </si>
  <si>
    <t>شیر 1.5% چربی</t>
  </si>
  <si>
    <t>شیر بدون چربی</t>
  </si>
  <si>
    <t>واحد(لیوان)</t>
  </si>
  <si>
    <t>شیر موز</t>
  </si>
  <si>
    <t>شیر نارگیل</t>
  </si>
  <si>
    <t>شیر سویا</t>
  </si>
  <si>
    <t>پنیر خامه ای</t>
  </si>
  <si>
    <t>پنیرسفید ایرانی</t>
  </si>
  <si>
    <t>پنیر لاکتیکی</t>
  </si>
  <si>
    <t>پنیر کاتیج</t>
  </si>
  <si>
    <t>پنیر کم چرب</t>
  </si>
  <si>
    <t>پنیر لبنه</t>
  </si>
  <si>
    <t>حجم(cc)</t>
  </si>
  <si>
    <t>دوغ</t>
  </si>
  <si>
    <t>میوه ها(یک عدد متوسط)</t>
  </si>
  <si>
    <t>خرما تازه</t>
  </si>
  <si>
    <t>خرما خشک</t>
  </si>
  <si>
    <t>انجیر</t>
  </si>
  <si>
    <t>حلوا ارده بدون شکر</t>
  </si>
  <si>
    <t>حلوا ارده</t>
  </si>
  <si>
    <t>بادام زمینی</t>
  </si>
  <si>
    <t>بادام</t>
  </si>
  <si>
    <t>فندق</t>
  </si>
  <si>
    <t>پسته</t>
  </si>
  <si>
    <t>پسته تازه</t>
  </si>
  <si>
    <t>تخمه آفتابگردان</t>
  </si>
  <si>
    <t>تخمه کدو</t>
  </si>
  <si>
    <t>کنجد</t>
  </si>
  <si>
    <t>بادام هندی</t>
  </si>
  <si>
    <t>آجیل سویا</t>
  </si>
  <si>
    <t>پاپ کورن</t>
  </si>
  <si>
    <t>لواشک</t>
  </si>
  <si>
    <t>شیر 3 % چربی (لیوان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</si>
</sst>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b/>
      <sz val="12"/>
      <name val="B Zar"/>
      <charset val="178"/>
    </font>
    <font>
      <b/>
      <sz val="12"/>
      <name val="B Nazanin"/>
      <charset val="178"/>
    </font>
    <font>
      <b/>
      <sz val="12"/>
      <name val="Calibri"/>
      <family val="2"/>
      <scheme val="minor"/>
    </font>
    <font>
      <sz val="12"/>
      <name val="Calibri"/>
      <family val="2"/>
      <scheme val="minor"/>
    </font>
    <font>
      <b/>
      <sz val="12"/>
      <color theme="1"/>
      <name val="Calibri"/>
      <family val="2"/>
      <scheme val="minor"/>
    </font>
    <font>
      <b/>
      <sz val="12"/>
      <color theme="1"/>
      <name val="B Nazanin"/>
      <charset val="178"/>
    </font>
    <font>
      <sz val="12"/>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rgb="FFFFCC99"/>
        <bgColor indexed="64"/>
      </patternFill>
    </fill>
    <fill>
      <patternFill patternType="solid">
        <fgColor rgb="FFFFFFCC"/>
        <bgColor indexed="64"/>
      </patternFill>
    </fill>
    <fill>
      <patternFill patternType="solid">
        <fgColor rgb="FFD6F4F8"/>
        <bgColor indexed="64"/>
      </patternFill>
    </fill>
    <fill>
      <patternFill patternType="solid">
        <fgColor rgb="FFFFCCCC"/>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6" tint="0.39997558519241921"/>
        <bgColor indexed="64"/>
      </patternFill>
    </fill>
    <fill>
      <patternFill patternType="solid">
        <fgColor rgb="FFFF99FF"/>
        <bgColor indexed="64"/>
      </patternFill>
    </fill>
    <fill>
      <patternFill patternType="solid">
        <fgColor theme="7" tint="0.79998168889431442"/>
        <bgColor indexed="64"/>
      </patternFill>
    </fill>
    <fill>
      <patternFill patternType="solid">
        <fgColor rgb="FFFFCCFF"/>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double">
        <color indexed="64"/>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s>
  <cellStyleXfs count="1">
    <xf numFmtId="0" fontId="0" fillId="0" borderId="0"/>
  </cellStyleXfs>
  <cellXfs count="248">
    <xf numFmtId="0" fontId="0" fillId="0" borderId="0" xfId="0"/>
    <xf numFmtId="1" fontId="1" fillId="0" borderId="19" xfId="0"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3" fillId="2" borderId="1" xfId="0" applyNumberFormat="1" applyFont="1" applyFill="1" applyBorder="1"/>
    <xf numFmtId="2" fontId="3" fillId="2" borderId="1" xfId="0" applyNumberFormat="1" applyFont="1" applyFill="1" applyBorder="1"/>
    <xf numFmtId="1" fontId="3" fillId="2" borderId="2" xfId="0" applyNumberFormat="1" applyFont="1" applyFill="1" applyBorder="1"/>
    <xf numFmtId="1" fontId="2" fillId="2" borderId="3" xfId="0" applyNumberFormat="1" applyFont="1" applyFill="1" applyBorder="1" applyAlignment="1">
      <alignment horizontal="center" vertical="center"/>
    </xf>
    <xf numFmtId="1" fontId="2" fillId="2" borderId="4" xfId="0" applyNumberFormat="1" applyFont="1" applyFill="1" applyBorder="1" applyAlignment="1">
      <alignment horizontal="center" vertical="center"/>
    </xf>
    <xf numFmtId="1" fontId="2" fillId="2" borderId="5" xfId="0" applyNumberFormat="1" applyFont="1" applyFill="1" applyBorder="1" applyAlignment="1">
      <alignment horizontal="center" vertical="center"/>
    </xf>
    <xf numFmtId="1" fontId="3" fillId="0" borderId="0" xfId="0" applyNumberFormat="1" applyFont="1" applyFill="1"/>
    <xf numFmtId="1" fontId="3" fillId="3" borderId="6" xfId="0" applyNumberFormat="1" applyFont="1" applyFill="1" applyBorder="1" applyAlignment="1">
      <alignment vertical="top"/>
    </xf>
    <xf numFmtId="1" fontId="3" fillId="4" borderId="7" xfId="0" applyNumberFormat="1" applyFont="1" applyFill="1" applyBorder="1"/>
    <xf numFmtId="1" fontId="3" fillId="5" borderId="7" xfId="0" applyNumberFormat="1" applyFont="1" applyFill="1" applyBorder="1"/>
    <xf numFmtId="1" fontId="3" fillId="6" borderId="7" xfId="0" applyNumberFormat="1" applyFont="1" applyFill="1" applyBorder="1"/>
    <xf numFmtId="1" fontId="3" fillId="7" borderId="8" xfId="0" applyNumberFormat="1" applyFont="1" applyFill="1" applyBorder="1"/>
    <xf numFmtId="1" fontId="3" fillId="0" borderId="9" xfId="0" applyNumberFormat="1" applyFont="1" applyFill="1" applyBorder="1"/>
    <xf numFmtId="1" fontId="3" fillId="0" borderId="10" xfId="0" applyNumberFormat="1" applyFont="1" applyFill="1" applyBorder="1" applyAlignment="1"/>
    <xf numFmtId="1" fontId="3" fillId="0" borderId="11" xfId="0" applyNumberFormat="1" applyFont="1" applyFill="1" applyBorder="1"/>
    <xf numFmtId="1" fontId="2" fillId="2" borderId="12"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1" fontId="2" fillId="2" borderId="13" xfId="0" applyNumberFormat="1" applyFont="1" applyFill="1" applyBorder="1" applyAlignment="1">
      <alignment horizontal="center" vertical="center"/>
    </xf>
    <xf numFmtId="1" fontId="4" fillId="0" borderId="0" xfId="0" applyNumberFormat="1" applyFont="1" applyFill="1"/>
    <xf numFmtId="1" fontId="3" fillId="4" borderId="1" xfId="0" applyNumberFormat="1" applyFont="1" applyFill="1" applyBorder="1" applyAlignment="1">
      <alignment vertical="top"/>
    </xf>
    <xf numFmtId="1" fontId="3" fillId="5" borderId="1" xfId="0" applyNumberFormat="1" applyFont="1" applyFill="1" applyBorder="1" applyAlignment="1">
      <alignment vertical="top"/>
    </xf>
    <xf numFmtId="1" fontId="3" fillId="6" borderId="1" xfId="0" applyNumberFormat="1" applyFont="1" applyFill="1" applyBorder="1" applyAlignment="1">
      <alignment vertical="top"/>
    </xf>
    <xf numFmtId="1" fontId="3" fillId="7" borderId="13" xfId="0" applyNumberFormat="1" applyFont="1" applyFill="1" applyBorder="1" applyAlignment="1">
      <alignment vertical="top"/>
    </xf>
    <xf numFmtId="1" fontId="3" fillId="4" borderId="1" xfId="0" applyNumberFormat="1" applyFont="1" applyFill="1" applyBorder="1"/>
    <xf numFmtId="1" fontId="3" fillId="5" borderId="1" xfId="0" applyNumberFormat="1" applyFont="1" applyFill="1" applyBorder="1"/>
    <xf numFmtId="1" fontId="3" fillId="6" borderId="1" xfId="0" applyNumberFormat="1" applyFont="1" applyFill="1" applyBorder="1"/>
    <xf numFmtId="1" fontId="3" fillId="7" borderId="13" xfId="0" applyNumberFormat="1" applyFont="1" applyFill="1" applyBorder="1"/>
    <xf numFmtId="1" fontId="1" fillId="0" borderId="18" xfId="0" applyNumberFormat="1" applyFont="1" applyFill="1" applyBorder="1" applyAlignment="1">
      <alignment horizontal="center" vertical="center"/>
    </xf>
    <xf numFmtId="1" fontId="1" fillId="0" borderId="20" xfId="0" applyNumberFormat="1" applyFont="1" applyFill="1" applyBorder="1" applyAlignment="1">
      <alignment horizontal="center" vertical="center"/>
    </xf>
    <xf numFmtId="1" fontId="3" fillId="3" borderId="3" xfId="0" applyNumberFormat="1" applyFont="1" applyFill="1" applyBorder="1"/>
    <xf numFmtId="1" fontId="4" fillId="8" borderId="23" xfId="0" applyNumberFormat="1" applyFont="1" applyFill="1" applyBorder="1"/>
    <xf numFmtId="1" fontId="4" fillId="8" borderId="4" xfId="0" applyNumberFormat="1" applyFont="1" applyFill="1" applyBorder="1"/>
    <xf numFmtId="1" fontId="4" fillId="9" borderId="24" xfId="0" applyNumberFormat="1" applyFont="1" applyFill="1" applyBorder="1"/>
    <xf numFmtId="1" fontId="4" fillId="9" borderId="5" xfId="0" applyNumberFormat="1" applyFont="1" applyFill="1" applyBorder="1"/>
    <xf numFmtId="1" fontId="4" fillId="0" borderId="0" xfId="0" applyNumberFormat="1" applyFont="1" applyFill="1" applyBorder="1"/>
    <xf numFmtId="1" fontId="3" fillId="3" borderId="21" xfId="0" applyNumberFormat="1" applyFont="1" applyFill="1" applyBorder="1"/>
    <xf numFmtId="1" fontId="4" fillId="8" borderId="2" xfId="0" applyNumberFormat="1" applyFont="1" applyFill="1" applyBorder="1"/>
    <xf numFmtId="1" fontId="4" fillId="8" borderId="1" xfId="0" applyNumberFormat="1" applyFont="1" applyFill="1" applyBorder="1"/>
    <xf numFmtId="1" fontId="4" fillId="8" borderId="25" xfId="0" applyNumberFormat="1" applyFont="1" applyFill="1" applyBorder="1"/>
    <xf numFmtId="1" fontId="4" fillId="9" borderId="25" xfId="0" applyNumberFormat="1" applyFont="1" applyFill="1" applyBorder="1"/>
    <xf numFmtId="1" fontId="4" fillId="9" borderId="0" xfId="0" applyNumberFormat="1" applyFont="1" applyFill="1" applyBorder="1"/>
    <xf numFmtId="1" fontId="4" fillId="9" borderId="26" xfId="0" applyNumberFormat="1" applyFont="1" applyFill="1" applyBorder="1"/>
    <xf numFmtId="1" fontId="3" fillId="3" borderId="12" xfId="0" applyNumberFormat="1" applyFont="1" applyFill="1" applyBorder="1"/>
    <xf numFmtId="1" fontId="4" fillId="9" borderId="23" xfId="0" applyNumberFormat="1" applyFont="1" applyFill="1" applyBorder="1"/>
    <xf numFmtId="1" fontId="4" fillId="9" borderId="27" xfId="0" applyNumberFormat="1" applyFont="1" applyFill="1" applyBorder="1"/>
    <xf numFmtId="1" fontId="4" fillId="9" borderId="13" xfId="0" applyNumberFormat="1" applyFont="1" applyFill="1" applyBorder="1"/>
    <xf numFmtId="1" fontId="3" fillId="3" borderId="17" xfId="0" applyNumberFormat="1" applyFont="1" applyFill="1" applyBorder="1"/>
    <xf numFmtId="1" fontId="4" fillId="8" borderId="27" xfId="0" applyNumberFormat="1" applyFont="1" applyFill="1" applyBorder="1"/>
    <xf numFmtId="1" fontId="4" fillId="8" borderId="28" xfId="0" applyNumberFormat="1" applyFont="1" applyFill="1" applyBorder="1"/>
    <xf numFmtId="1" fontId="3" fillId="9" borderId="23" xfId="0" applyNumberFormat="1" applyFont="1" applyFill="1" applyBorder="1"/>
    <xf numFmtId="1" fontId="3" fillId="9" borderId="28" xfId="0" applyNumberFormat="1" applyFont="1" applyFill="1" applyBorder="1"/>
    <xf numFmtId="1" fontId="3" fillId="9" borderId="29" xfId="0" applyNumberFormat="1" applyFont="1" applyFill="1" applyBorder="1"/>
    <xf numFmtId="1" fontId="3" fillId="9" borderId="13" xfId="0" applyNumberFormat="1" applyFont="1" applyFill="1" applyBorder="1"/>
    <xf numFmtId="1" fontId="4" fillId="8" borderId="29" xfId="0" applyNumberFormat="1" applyFont="1" applyFill="1" applyBorder="1"/>
    <xf numFmtId="1" fontId="4" fillId="9" borderId="1" xfId="0" applyNumberFormat="1" applyFont="1" applyFill="1" applyBorder="1"/>
    <xf numFmtId="1" fontId="4" fillId="9" borderId="28" xfId="0" applyNumberFormat="1" applyFont="1" applyFill="1" applyBorder="1"/>
    <xf numFmtId="1" fontId="4" fillId="8" borderId="30" xfId="0" applyNumberFormat="1" applyFont="1" applyFill="1" applyBorder="1"/>
    <xf numFmtId="1" fontId="4" fillId="9" borderId="7" xfId="0" applyNumberFormat="1" applyFont="1" applyFill="1" applyBorder="1"/>
    <xf numFmtId="1" fontId="4" fillId="9" borderId="30" xfId="0" applyNumberFormat="1" applyFont="1" applyFill="1" applyBorder="1"/>
    <xf numFmtId="1" fontId="4" fillId="9" borderId="8" xfId="0" applyNumberFormat="1" applyFont="1" applyFill="1" applyBorder="1"/>
    <xf numFmtId="1" fontId="4" fillId="0" borderId="1" xfId="0" applyNumberFormat="1" applyFont="1" applyFill="1" applyBorder="1"/>
    <xf numFmtId="1" fontId="3" fillId="3" borderId="25" xfId="0" applyNumberFormat="1" applyFont="1" applyFill="1" applyBorder="1"/>
    <xf numFmtId="1" fontId="4" fillId="8" borderId="0" xfId="0" applyNumberFormat="1" applyFont="1" applyFill="1" applyBorder="1"/>
    <xf numFmtId="1" fontId="4" fillId="8" borderId="22" xfId="0" applyNumberFormat="1" applyFont="1" applyFill="1" applyBorder="1"/>
    <xf numFmtId="1" fontId="4" fillId="9" borderId="22" xfId="0" applyNumberFormat="1" applyFont="1" applyFill="1" applyBorder="1"/>
    <xf numFmtId="1" fontId="4" fillId="9" borderId="31" xfId="0" applyNumberFormat="1" applyFont="1" applyFill="1" applyBorder="1"/>
    <xf numFmtId="1" fontId="4" fillId="0" borderId="30" xfId="0" applyNumberFormat="1" applyFont="1" applyFill="1" applyBorder="1"/>
    <xf numFmtId="1" fontId="4" fillId="0" borderId="2" xfId="0" applyNumberFormat="1" applyFont="1" applyFill="1" applyBorder="1"/>
    <xf numFmtId="1" fontId="3" fillId="3" borderId="32" xfId="0" applyNumberFormat="1" applyFont="1" applyFill="1" applyBorder="1"/>
    <xf numFmtId="1" fontId="4" fillId="8" borderId="33" xfId="0" applyNumberFormat="1" applyFont="1" applyFill="1" applyBorder="1"/>
    <xf numFmtId="1" fontId="4" fillId="8" borderId="34" xfId="0" applyNumberFormat="1" applyFont="1" applyFill="1" applyBorder="1"/>
    <xf numFmtId="1" fontId="4" fillId="8" borderId="35" xfId="0" applyNumberFormat="1" applyFont="1" applyFill="1" applyBorder="1"/>
    <xf numFmtId="1" fontId="4" fillId="9" borderId="34" xfId="0" applyNumberFormat="1" applyFont="1" applyFill="1" applyBorder="1"/>
    <xf numFmtId="1" fontId="4" fillId="9" borderId="35" xfId="0" applyNumberFormat="1" applyFont="1" applyFill="1" applyBorder="1"/>
    <xf numFmtId="1" fontId="4" fillId="9" borderId="36" xfId="0" applyNumberFormat="1" applyFont="1" applyFill="1" applyBorder="1"/>
    <xf numFmtId="1" fontId="3" fillId="3" borderId="37" xfId="0" applyNumberFormat="1" applyFont="1" applyFill="1" applyBorder="1"/>
    <xf numFmtId="1" fontId="4" fillId="8" borderId="38" xfId="0" applyNumberFormat="1" applyFont="1" applyFill="1" applyBorder="1"/>
    <xf numFmtId="1" fontId="4" fillId="8" borderId="39" xfId="0" applyNumberFormat="1" applyFont="1" applyFill="1" applyBorder="1"/>
    <xf numFmtId="1" fontId="4" fillId="8" borderId="40" xfId="0" applyNumberFormat="1" applyFont="1" applyFill="1" applyBorder="1"/>
    <xf numFmtId="1" fontId="4" fillId="9" borderId="39" xfId="0" applyNumberFormat="1" applyFont="1" applyFill="1" applyBorder="1"/>
    <xf numFmtId="1" fontId="4" fillId="9" borderId="40" xfId="0" applyNumberFormat="1" applyFont="1" applyFill="1" applyBorder="1"/>
    <xf numFmtId="1" fontId="4" fillId="9" borderId="41" xfId="0" applyNumberFormat="1" applyFont="1" applyFill="1" applyBorder="1"/>
    <xf numFmtId="1" fontId="4" fillId="8" borderId="42" xfId="0" applyNumberFormat="1" applyFont="1" applyFill="1" applyBorder="1"/>
    <xf numFmtId="1" fontId="4" fillId="8" borderId="7" xfId="0" applyNumberFormat="1" applyFont="1" applyFill="1" applyBorder="1"/>
    <xf numFmtId="1" fontId="4" fillId="8" borderId="43" xfId="0" applyNumberFormat="1" applyFont="1" applyFill="1" applyBorder="1"/>
    <xf numFmtId="1" fontId="3" fillId="3" borderId="14" xfId="0" applyNumberFormat="1" applyFont="1" applyFill="1" applyBorder="1"/>
    <xf numFmtId="1" fontId="3" fillId="3" borderId="44" xfId="0" applyNumberFormat="1" applyFont="1" applyFill="1" applyBorder="1"/>
    <xf numFmtId="1" fontId="4" fillId="8" borderId="45" xfId="0" applyNumberFormat="1" applyFont="1" applyFill="1" applyBorder="1"/>
    <xf numFmtId="1" fontId="4" fillId="8" borderId="46" xfId="0" applyNumberFormat="1" applyFont="1" applyFill="1" applyBorder="1"/>
    <xf numFmtId="1" fontId="4" fillId="9" borderId="47" xfId="0" applyNumberFormat="1" applyFont="1" applyFill="1" applyBorder="1"/>
    <xf numFmtId="1" fontId="4" fillId="9" borderId="48" xfId="0" applyNumberFormat="1" applyFont="1" applyFill="1" applyBorder="1"/>
    <xf numFmtId="1" fontId="4" fillId="0" borderId="0" xfId="0" applyNumberFormat="1" applyFont="1" applyFill="1" applyAlignment="1">
      <alignment horizontal="center"/>
    </xf>
    <xf numFmtId="1" fontId="4" fillId="8" borderId="49" xfId="0" applyNumberFormat="1" applyFont="1" applyFill="1" applyBorder="1"/>
    <xf numFmtId="1" fontId="4" fillId="8" borderId="24" xfId="0" applyNumberFormat="1" applyFont="1" applyFill="1" applyBorder="1"/>
    <xf numFmtId="1" fontId="4" fillId="9" borderId="4" xfId="0" applyNumberFormat="1" applyFont="1" applyFill="1" applyBorder="1"/>
    <xf numFmtId="1" fontId="3" fillId="3" borderId="50" xfId="0" applyNumberFormat="1" applyFont="1" applyFill="1" applyBorder="1"/>
    <xf numFmtId="1" fontId="4" fillId="8" borderId="47" xfId="0" applyNumberFormat="1" applyFont="1" applyFill="1" applyBorder="1"/>
    <xf numFmtId="1" fontId="4" fillId="0" borderId="51" xfId="0" applyNumberFormat="1" applyFont="1" applyFill="1" applyBorder="1"/>
    <xf numFmtId="1" fontId="4" fillId="0" borderId="52" xfId="0" applyNumberFormat="1" applyFont="1" applyFill="1" applyBorder="1"/>
    <xf numFmtId="1" fontId="4" fillId="0" borderId="53" xfId="0" applyNumberFormat="1" applyFont="1" applyFill="1" applyBorder="1"/>
    <xf numFmtId="1" fontId="3" fillId="10" borderId="1" xfId="0" applyNumberFormat="1" applyFont="1" applyFill="1" applyBorder="1"/>
    <xf numFmtId="2" fontId="3" fillId="10" borderId="1" xfId="0" applyNumberFormat="1" applyFont="1" applyFill="1" applyBorder="1"/>
    <xf numFmtId="1" fontId="3" fillId="10" borderId="2" xfId="0" applyNumberFormat="1" applyFont="1" applyFill="1" applyBorder="1"/>
    <xf numFmtId="1" fontId="2" fillId="10" borderId="12" xfId="0" applyNumberFormat="1" applyFont="1" applyFill="1" applyBorder="1" applyAlignment="1">
      <alignment horizontal="center" vertical="center"/>
    </xf>
    <xf numFmtId="1" fontId="2" fillId="10" borderId="1" xfId="0" applyNumberFormat="1" applyFont="1" applyFill="1" applyBorder="1" applyAlignment="1">
      <alignment horizontal="center" vertical="center"/>
    </xf>
    <xf numFmtId="1" fontId="2" fillId="10" borderId="13" xfId="0" applyNumberFormat="1" applyFont="1" applyFill="1" applyBorder="1" applyAlignment="1">
      <alignment horizontal="center" vertical="center"/>
    </xf>
    <xf numFmtId="1" fontId="3" fillId="9" borderId="1" xfId="0" applyNumberFormat="1" applyFont="1" applyFill="1" applyBorder="1"/>
    <xf numFmtId="2" fontId="3" fillId="9" borderId="1" xfId="0" applyNumberFormat="1" applyFont="1" applyFill="1" applyBorder="1"/>
    <xf numFmtId="1" fontId="3" fillId="9" borderId="2" xfId="0" applyNumberFormat="1" applyFont="1" applyFill="1" applyBorder="1"/>
    <xf numFmtId="1" fontId="2" fillId="9" borderId="12" xfId="0" applyNumberFormat="1" applyFont="1" applyFill="1" applyBorder="1" applyAlignment="1">
      <alignment horizontal="center" vertical="center"/>
    </xf>
    <xf numFmtId="1" fontId="2" fillId="9" borderId="1" xfId="0" applyNumberFormat="1" applyFont="1" applyFill="1" applyBorder="1" applyAlignment="1">
      <alignment horizontal="center" vertical="center"/>
    </xf>
    <xf numFmtId="1" fontId="2" fillId="9" borderId="13" xfId="0" applyNumberFormat="1" applyFont="1" applyFill="1" applyBorder="1" applyAlignment="1">
      <alignment horizontal="center" vertical="center"/>
    </xf>
    <xf numFmtId="1" fontId="3" fillId="11" borderId="1" xfId="0" applyNumberFormat="1" applyFont="1" applyFill="1" applyBorder="1"/>
    <xf numFmtId="2" fontId="3" fillId="11" borderId="1" xfId="0" applyNumberFormat="1" applyFont="1" applyFill="1" applyBorder="1"/>
    <xf numFmtId="1" fontId="3" fillId="11" borderId="2" xfId="0" applyNumberFormat="1" applyFont="1" applyFill="1" applyBorder="1"/>
    <xf numFmtId="1" fontId="2" fillId="11" borderId="12" xfId="0" applyNumberFormat="1" applyFont="1" applyFill="1" applyBorder="1" applyAlignment="1">
      <alignment horizontal="center" vertical="center"/>
    </xf>
    <xf numFmtId="1" fontId="2" fillId="11" borderId="1" xfId="0" applyNumberFormat="1" applyFont="1" applyFill="1" applyBorder="1" applyAlignment="1">
      <alignment horizontal="center" vertical="center"/>
    </xf>
    <xf numFmtId="1" fontId="2" fillId="11" borderId="13" xfId="0" applyNumberFormat="1" applyFont="1" applyFill="1" applyBorder="1" applyAlignment="1">
      <alignment horizontal="center" vertical="center"/>
    </xf>
    <xf numFmtId="1" fontId="5" fillId="4" borderId="1" xfId="0" applyNumberFormat="1" applyFont="1" applyFill="1" applyBorder="1"/>
    <xf numFmtId="1" fontId="5" fillId="5" borderId="1" xfId="0" applyNumberFormat="1" applyFont="1" applyFill="1" applyBorder="1"/>
    <xf numFmtId="1" fontId="5" fillId="6" borderId="1" xfId="0" applyNumberFormat="1" applyFont="1" applyFill="1" applyBorder="1"/>
    <xf numFmtId="1" fontId="5" fillId="7" borderId="13" xfId="0" applyNumberFormat="1" applyFont="1" applyFill="1" applyBorder="1"/>
    <xf numFmtId="1" fontId="5" fillId="11" borderId="1" xfId="0" applyNumberFormat="1" applyFont="1" applyFill="1" applyBorder="1"/>
    <xf numFmtId="1" fontId="5" fillId="11" borderId="2" xfId="0" applyNumberFormat="1" applyFont="1" applyFill="1" applyBorder="1"/>
    <xf numFmtId="1" fontId="6" fillId="11" borderId="12" xfId="0" quotePrefix="1" applyNumberFormat="1" applyFont="1" applyFill="1" applyBorder="1" applyAlignment="1">
      <alignment horizontal="center" vertical="center"/>
    </xf>
    <xf numFmtId="1" fontId="6" fillId="11" borderId="1" xfId="0" applyNumberFormat="1" applyFont="1" applyFill="1" applyBorder="1" applyAlignment="1">
      <alignment horizontal="center" vertical="center"/>
    </xf>
    <xf numFmtId="1" fontId="6" fillId="11" borderId="13" xfId="0" applyNumberFormat="1" applyFont="1" applyFill="1" applyBorder="1" applyAlignment="1">
      <alignment horizontal="center" vertical="center"/>
    </xf>
    <xf numFmtId="1" fontId="6" fillId="11" borderId="12" xfId="0" applyNumberFormat="1" applyFont="1" applyFill="1" applyBorder="1" applyAlignment="1">
      <alignment horizontal="center" vertical="center"/>
    </xf>
    <xf numFmtId="1" fontId="5" fillId="0" borderId="0" xfId="0" applyNumberFormat="1" applyFont="1" applyFill="1"/>
    <xf numFmtId="1" fontId="7" fillId="0" borderId="0" xfId="0" applyNumberFormat="1" applyFont="1" applyFill="1"/>
    <xf numFmtId="1" fontId="3" fillId="12" borderId="1" xfId="0" applyNumberFormat="1" applyFont="1" applyFill="1" applyBorder="1"/>
    <xf numFmtId="2" fontId="3" fillId="12" borderId="1" xfId="0" applyNumberFormat="1" applyFont="1" applyFill="1" applyBorder="1"/>
    <xf numFmtId="1" fontId="3" fillId="12" borderId="2" xfId="0" applyNumberFormat="1" applyFont="1" applyFill="1" applyBorder="1"/>
    <xf numFmtId="1" fontId="2" fillId="12" borderId="12" xfId="0" applyNumberFormat="1" applyFont="1" applyFill="1" applyBorder="1" applyAlignment="1">
      <alignment horizontal="center" vertical="center"/>
    </xf>
    <xf numFmtId="1" fontId="2" fillId="12" borderId="1" xfId="0" applyNumberFormat="1" applyFont="1" applyFill="1" applyBorder="1" applyAlignment="1">
      <alignment horizontal="center" vertical="center"/>
    </xf>
    <xf numFmtId="1" fontId="2" fillId="12" borderId="13" xfId="0" applyNumberFormat="1" applyFont="1" applyFill="1" applyBorder="1" applyAlignment="1">
      <alignment horizontal="center" vertical="center"/>
    </xf>
    <xf numFmtId="2" fontId="3" fillId="5" borderId="1" xfId="0" applyNumberFormat="1" applyFont="1" applyFill="1" applyBorder="1"/>
    <xf numFmtId="1" fontId="3" fillId="5" borderId="2" xfId="0" applyNumberFormat="1" applyFont="1" applyFill="1" applyBorder="1"/>
    <xf numFmtId="1" fontId="2" fillId="5" borderId="12"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5" borderId="13" xfId="0" applyNumberFormat="1" applyFont="1" applyFill="1" applyBorder="1" applyAlignment="1">
      <alignment horizontal="center" vertical="center"/>
    </xf>
    <xf numFmtId="1" fontId="3" fillId="13" borderId="1" xfId="0" applyNumberFormat="1" applyFont="1" applyFill="1" applyBorder="1"/>
    <xf numFmtId="2" fontId="3" fillId="13" borderId="1" xfId="0" applyNumberFormat="1" applyFont="1" applyFill="1" applyBorder="1"/>
    <xf numFmtId="1" fontId="3" fillId="13" borderId="2" xfId="0" applyNumberFormat="1" applyFont="1" applyFill="1" applyBorder="1"/>
    <xf numFmtId="1" fontId="2" fillId="13" borderId="12" xfId="0" applyNumberFormat="1" applyFont="1" applyFill="1" applyBorder="1" applyAlignment="1">
      <alignment horizontal="center" vertical="center"/>
    </xf>
    <xf numFmtId="1" fontId="2" fillId="13" borderId="1" xfId="0" applyNumberFormat="1" applyFont="1" applyFill="1" applyBorder="1" applyAlignment="1">
      <alignment horizontal="center" vertical="center"/>
    </xf>
    <xf numFmtId="1" fontId="2" fillId="13" borderId="13" xfId="0" applyNumberFormat="1" applyFont="1" applyFill="1" applyBorder="1" applyAlignment="1">
      <alignment horizontal="center" vertical="center"/>
    </xf>
    <xf numFmtId="1" fontId="3" fillId="6" borderId="2" xfId="0" applyNumberFormat="1" applyFont="1" applyFill="1" applyBorder="1"/>
    <xf numFmtId="1" fontId="2" fillId="6" borderId="12" xfId="0" applyNumberFormat="1" applyFont="1" applyFill="1" applyBorder="1" applyAlignment="1">
      <alignment horizontal="center" vertical="center"/>
    </xf>
    <xf numFmtId="1" fontId="2" fillId="6" borderId="1" xfId="0" applyNumberFormat="1" applyFont="1" applyFill="1" applyBorder="1" applyAlignment="1">
      <alignment horizontal="center" vertical="center"/>
    </xf>
    <xf numFmtId="1" fontId="2" fillId="6" borderId="13" xfId="0" applyNumberFormat="1" applyFont="1" applyFill="1" applyBorder="1" applyAlignment="1">
      <alignment horizontal="center" vertical="center"/>
    </xf>
    <xf numFmtId="0" fontId="7" fillId="0" borderId="0" xfId="0" applyFont="1"/>
    <xf numFmtId="1" fontId="4" fillId="6" borderId="1" xfId="0" applyNumberFormat="1" applyFont="1" applyFill="1" applyBorder="1"/>
    <xf numFmtId="1" fontId="2" fillId="0" borderId="16" xfId="0"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 fontId="2" fillId="0" borderId="31" xfId="0" applyNumberFormat="1" applyFont="1" applyFill="1" applyBorder="1" applyAlignment="1">
      <alignment horizontal="center" vertical="center"/>
    </xf>
    <xf numFmtId="1" fontId="3" fillId="14" borderId="1" xfId="0" applyNumberFormat="1" applyFont="1" applyFill="1" applyBorder="1"/>
    <xf numFmtId="1" fontId="3" fillId="14" borderId="2" xfId="0" applyNumberFormat="1" applyFont="1" applyFill="1" applyBorder="1"/>
    <xf numFmtId="1" fontId="2" fillId="14" borderId="12" xfId="0" applyNumberFormat="1" applyFont="1" applyFill="1" applyBorder="1" applyAlignment="1">
      <alignment horizontal="center" vertical="center"/>
    </xf>
    <xf numFmtId="1" fontId="2" fillId="14" borderId="1" xfId="0" applyNumberFormat="1" applyFont="1" applyFill="1" applyBorder="1" applyAlignment="1">
      <alignment horizontal="center" vertical="center"/>
    </xf>
    <xf numFmtId="1" fontId="2" fillId="14" borderId="13" xfId="0" applyNumberFormat="1" applyFont="1" applyFill="1" applyBorder="1" applyAlignment="1">
      <alignment horizontal="center" vertical="center"/>
    </xf>
    <xf numFmtId="2" fontId="3" fillId="14" borderId="1" xfId="0" applyNumberFormat="1" applyFont="1" applyFill="1" applyBorder="1"/>
    <xf numFmtId="1" fontId="4" fillId="5" borderId="2" xfId="0" applyNumberFormat="1" applyFont="1" applyFill="1" applyBorder="1"/>
    <xf numFmtId="1" fontId="3" fillId="7" borderId="1" xfId="0" applyNumberFormat="1" applyFont="1" applyFill="1" applyBorder="1"/>
    <xf numFmtId="2" fontId="3" fillId="7" borderId="1" xfId="0" applyNumberFormat="1" applyFont="1" applyFill="1" applyBorder="1"/>
    <xf numFmtId="1" fontId="3" fillId="7" borderId="2" xfId="0" applyNumberFormat="1" applyFont="1" applyFill="1" applyBorder="1"/>
    <xf numFmtId="1" fontId="2" fillId="7" borderId="12" xfId="0" applyNumberFormat="1"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13" xfId="0" applyNumberFormat="1" applyFont="1" applyFill="1" applyBorder="1" applyAlignment="1">
      <alignment horizontal="center" vertical="center"/>
    </xf>
    <xf numFmtId="2" fontId="3" fillId="4" borderId="1" xfId="0" applyNumberFormat="1" applyFont="1" applyFill="1" applyBorder="1"/>
    <xf numFmtId="1" fontId="3" fillId="4" borderId="2" xfId="0" applyNumberFormat="1" applyFont="1" applyFill="1" applyBorder="1"/>
    <xf numFmtId="1" fontId="2" fillId="4" borderId="12"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4" borderId="13" xfId="0" applyNumberFormat="1" applyFont="1" applyFill="1" applyBorder="1" applyAlignment="1">
      <alignment horizontal="center" vertical="center"/>
    </xf>
    <xf numFmtId="1" fontId="3" fillId="4" borderId="22" xfId="0" applyNumberFormat="1" applyFont="1" applyFill="1" applyBorder="1"/>
    <xf numFmtId="1" fontId="3" fillId="5" borderId="22" xfId="0" applyNumberFormat="1" applyFont="1" applyFill="1" applyBorder="1"/>
    <xf numFmtId="1" fontId="3" fillId="6" borderId="22" xfId="0" applyNumberFormat="1" applyFont="1" applyFill="1" applyBorder="1"/>
    <xf numFmtId="1" fontId="3" fillId="7" borderId="26" xfId="0" applyNumberFormat="1" applyFont="1" applyFill="1" applyBorder="1"/>
    <xf numFmtId="1" fontId="3" fillId="4" borderId="47" xfId="0" applyNumberFormat="1" applyFont="1" applyFill="1" applyBorder="1"/>
    <xf numFmtId="1" fontId="3" fillId="5" borderId="47" xfId="0" applyNumberFormat="1" applyFont="1" applyFill="1" applyBorder="1"/>
    <xf numFmtId="1" fontId="3" fillId="6" borderId="47" xfId="0" applyNumberFormat="1" applyFont="1" applyFill="1" applyBorder="1"/>
    <xf numFmtId="1" fontId="3" fillId="0" borderId="52" xfId="0" applyNumberFormat="1" applyFont="1" applyFill="1" applyBorder="1"/>
    <xf numFmtId="1" fontId="4" fillId="4" borderId="0" xfId="0" applyNumberFormat="1" applyFont="1" applyFill="1" applyBorder="1"/>
    <xf numFmtId="1" fontId="4" fillId="5" borderId="0" xfId="0" applyNumberFormat="1" applyFont="1" applyFill="1" applyBorder="1"/>
    <xf numFmtId="1" fontId="4" fillId="6" borderId="0" xfId="0" applyNumberFormat="1" applyFont="1" applyFill="1" applyBorder="1"/>
    <xf numFmtId="1" fontId="4" fillId="7" borderId="0" xfId="0" applyNumberFormat="1" applyFont="1" applyFill="1" applyBorder="1"/>
    <xf numFmtId="2" fontId="4" fillId="0" borderId="0" xfId="0" applyNumberFormat="1" applyFont="1" applyFill="1"/>
    <xf numFmtId="1" fontId="3" fillId="3" borderId="50" xfId="0" applyNumberFormat="1" applyFont="1" applyFill="1" applyBorder="1" applyAlignment="1">
      <alignment horizontal="center" vertical="top"/>
    </xf>
    <xf numFmtId="1" fontId="4" fillId="0" borderId="54" xfId="0" applyNumberFormat="1" applyFont="1" applyFill="1" applyBorder="1" applyAlignment="1">
      <alignment horizontal="center" vertical="top"/>
    </xf>
    <xf numFmtId="1" fontId="3" fillId="0" borderId="54" xfId="0" applyNumberFormat="1" applyFont="1" applyFill="1" applyBorder="1" applyAlignment="1">
      <alignment horizontal="center" vertical="top"/>
    </xf>
    <xf numFmtId="1" fontId="3" fillId="3" borderId="54" xfId="0" applyNumberFormat="1" applyFont="1" applyFill="1" applyBorder="1" applyAlignment="1">
      <alignment horizontal="center" vertical="top"/>
    </xf>
    <xf numFmtId="1" fontId="4" fillId="4" borderId="52" xfId="0" applyNumberFormat="1" applyFont="1" applyFill="1" applyBorder="1"/>
    <xf numFmtId="1" fontId="4" fillId="5" borderId="52" xfId="0" applyNumberFormat="1" applyFont="1" applyFill="1" applyBorder="1"/>
    <xf numFmtId="1" fontId="4" fillId="6" borderId="52" xfId="0" applyNumberFormat="1" applyFont="1" applyFill="1" applyBorder="1"/>
    <xf numFmtId="1" fontId="4" fillId="7" borderId="52" xfId="0" applyNumberFormat="1" applyFont="1" applyFill="1" applyBorder="1"/>
    <xf numFmtId="2" fontId="3" fillId="0" borderId="0" xfId="0" applyNumberFormat="1" applyFont="1" applyFill="1"/>
    <xf numFmtId="1" fontId="3" fillId="0" borderId="0" xfId="0" applyNumberFormat="1" applyFont="1" applyFill="1" applyBorder="1" applyAlignment="1">
      <alignment horizontal="center" vertical="top"/>
    </xf>
    <xf numFmtId="1" fontId="3" fillId="4" borderId="0" xfId="0" applyNumberFormat="1" applyFont="1" applyFill="1" applyBorder="1"/>
    <xf numFmtId="1" fontId="3" fillId="6" borderId="0" xfId="0" applyNumberFormat="1" applyFont="1" applyFill="1" applyBorder="1"/>
    <xf numFmtId="1" fontId="3" fillId="7" borderId="0" xfId="0" applyNumberFormat="1" applyFont="1" applyFill="1" applyBorder="1"/>
    <xf numFmtId="1" fontId="4" fillId="0" borderId="0" xfId="0" applyNumberFormat="1" applyFont="1" applyFill="1" applyBorder="1" applyAlignment="1">
      <alignment horizontal="center" vertical="top"/>
    </xf>
    <xf numFmtId="1" fontId="3" fillId="3" borderId="0" xfId="0" applyNumberFormat="1" applyFont="1" applyFill="1" applyBorder="1"/>
    <xf numFmtId="1" fontId="3" fillId="3" borderId="0" xfId="0" applyNumberFormat="1" applyFont="1" applyFill="1" applyBorder="1" applyAlignment="1">
      <alignment vertical="top"/>
    </xf>
    <xf numFmtId="1" fontId="3" fillId="3" borderId="12" xfId="0" applyNumberFormat="1" applyFont="1" applyFill="1" applyBorder="1" applyAlignment="1">
      <alignment vertical="top"/>
    </xf>
    <xf numFmtId="1" fontId="3" fillId="0" borderId="1" xfId="0" applyNumberFormat="1" applyFont="1" applyFill="1" applyBorder="1" applyAlignment="1">
      <alignment horizontal="center" vertical="top"/>
    </xf>
    <xf numFmtId="1" fontId="4" fillId="0" borderId="1" xfId="0" applyNumberFormat="1" applyFont="1" applyFill="1" applyBorder="1" applyAlignment="1">
      <alignment horizontal="center" vertical="top"/>
    </xf>
    <xf numFmtId="1" fontId="3" fillId="3" borderId="1" xfId="0" applyNumberFormat="1" applyFont="1" applyFill="1" applyBorder="1"/>
    <xf numFmtId="1" fontId="4" fillId="4" borderId="1" xfId="0" applyNumberFormat="1" applyFont="1" applyFill="1" applyBorder="1"/>
    <xf numFmtId="1" fontId="4" fillId="5" borderId="1" xfId="0" applyNumberFormat="1" applyFont="1" applyFill="1" applyBorder="1"/>
    <xf numFmtId="1" fontId="4" fillId="7" borderId="13" xfId="0" applyNumberFormat="1" applyFont="1" applyFill="1" applyBorder="1"/>
    <xf numFmtId="1" fontId="3" fillId="0" borderId="1" xfId="0" applyNumberFormat="1" applyFont="1" applyFill="1" applyBorder="1"/>
    <xf numFmtId="1" fontId="2" fillId="0" borderId="1" xfId="0" applyNumberFormat="1" applyFont="1" applyFill="1" applyBorder="1" applyAlignment="1">
      <alignment horizontal="center" vertical="center"/>
    </xf>
    <xf numFmtId="2" fontId="3" fillId="4" borderId="22" xfId="0" applyNumberFormat="1" applyFont="1" applyFill="1" applyBorder="1"/>
    <xf numFmtId="1" fontId="3" fillId="4" borderId="55" xfId="0" applyNumberFormat="1" applyFont="1" applyFill="1" applyBorder="1"/>
    <xf numFmtId="1" fontId="2" fillId="4" borderId="21" xfId="0" applyNumberFormat="1" applyFont="1" applyFill="1" applyBorder="1" applyAlignment="1">
      <alignment horizontal="center" vertical="center"/>
    </xf>
    <xf numFmtId="1" fontId="2" fillId="4" borderId="22" xfId="0" applyNumberFormat="1" applyFont="1" applyFill="1" applyBorder="1" applyAlignment="1">
      <alignment horizontal="center" vertical="center"/>
    </xf>
    <xf numFmtId="1" fontId="2" fillId="4" borderId="26" xfId="0" applyNumberFormat="1" applyFont="1" applyFill="1" applyBorder="1" applyAlignment="1">
      <alignment horizontal="center" vertical="center"/>
    </xf>
    <xf numFmtId="2" fontId="3" fillId="4" borderId="47" xfId="0" applyNumberFormat="1" applyFont="1" applyFill="1" applyBorder="1"/>
    <xf numFmtId="1" fontId="2" fillId="4" borderId="47" xfId="0" applyNumberFormat="1" applyFont="1" applyFill="1" applyBorder="1" applyAlignment="1">
      <alignment horizontal="center" vertical="center"/>
    </xf>
    <xf numFmtId="1" fontId="4" fillId="0" borderId="47" xfId="0" applyNumberFormat="1" applyFont="1" applyFill="1" applyBorder="1"/>
    <xf numFmtId="1" fontId="3" fillId="3" borderId="47" xfId="0" applyNumberFormat="1" applyFont="1" applyFill="1" applyBorder="1" applyAlignment="1">
      <alignment horizontal="center" vertical="top"/>
    </xf>
    <xf numFmtId="1" fontId="4" fillId="0" borderId="47" xfId="0" applyNumberFormat="1" applyFont="1" applyFill="1" applyBorder="1" applyAlignment="1">
      <alignment horizontal="center" vertical="top"/>
    </xf>
    <xf numFmtId="1" fontId="3" fillId="0" borderId="47" xfId="0" applyNumberFormat="1" applyFont="1" applyFill="1" applyBorder="1" applyAlignment="1">
      <alignment horizontal="center" vertical="top"/>
    </xf>
    <xf numFmtId="1" fontId="3" fillId="7" borderId="47" xfId="0" applyNumberFormat="1" applyFont="1" applyFill="1" applyBorder="1"/>
    <xf numFmtId="1" fontId="4" fillId="0" borderId="16" xfId="0" applyNumberFormat="1" applyFont="1" applyFill="1" applyBorder="1" applyAlignment="1">
      <alignment horizontal="center" vertical="center"/>
    </xf>
    <xf numFmtId="1" fontId="4" fillId="0" borderId="0" xfId="0" applyNumberFormat="1" applyFont="1" applyFill="1" applyBorder="1" applyAlignment="1">
      <alignment horizontal="center"/>
    </xf>
    <xf numFmtId="1" fontId="3" fillId="0" borderId="15" xfId="0" applyNumberFormat="1" applyFont="1" applyFill="1" applyBorder="1" applyAlignment="1">
      <alignment horizontal="center" vertical="top"/>
    </xf>
    <xf numFmtId="1" fontId="3" fillId="0" borderId="7" xfId="0" applyNumberFormat="1" applyFont="1" applyFill="1" applyBorder="1" applyAlignment="1">
      <alignment horizontal="center" vertical="top"/>
    </xf>
    <xf numFmtId="1" fontId="4" fillId="0" borderId="15" xfId="0" applyNumberFormat="1" applyFont="1" applyFill="1" applyBorder="1" applyAlignment="1">
      <alignment horizontal="center" vertical="top"/>
    </xf>
    <xf numFmtId="1" fontId="4" fillId="0" borderId="7" xfId="0" applyNumberFormat="1" applyFont="1" applyFill="1" applyBorder="1" applyAlignment="1">
      <alignment horizontal="center" vertical="top"/>
    </xf>
    <xf numFmtId="1" fontId="3" fillId="3" borderId="15" xfId="0" applyNumberFormat="1" applyFont="1" applyFill="1" applyBorder="1" applyAlignment="1">
      <alignment horizontal="center" vertical="top"/>
    </xf>
    <xf numFmtId="1" fontId="3" fillId="3" borderId="7" xfId="0" applyNumberFormat="1" applyFont="1" applyFill="1" applyBorder="1" applyAlignment="1">
      <alignment horizontal="center" vertical="top"/>
    </xf>
    <xf numFmtId="1" fontId="3" fillId="3" borderId="14" xfId="0" applyNumberFormat="1" applyFont="1" applyFill="1" applyBorder="1" applyAlignment="1">
      <alignment horizontal="center" vertical="top"/>
    </xf>
    <xf numFmtId="1" fontId="3" fillId="3" borderId="17" xfId="0" applyNumberFormat="1" applyFont="1" applyFill="1" applyBorder="1" applyAlignment="1">
      <alignment horizontal="center" vertical="top"/>
    </xf>
    <xf numFmtId="1" fontId="3" fillId="0" borderId="22" xfId="0" applyNumberFormat="1" applyFont="1" applyFill="1" applyBorder="1" applyAlignment="1">
      <alignment horizontal="center" vertical="top"/>
    </xf>
    <xf numFmtId="1" fontId="4" fillId="0" borderId="22" xfId="0" applyNumberFormat="1" applyFont="1" applyFill="1" applyBorder="1" applyAlignment="1">
      <alignment horizontal="center" vertical="top"/>
    </xf>
    <xf numFmtId="1" fontId="3" fillId="3" borderId="22" xfId="0" applyNumberFormat="1" applyFont="1" applyFill="1" applyBorder="1" applyAlignment="1">
      <alignment horizontal="center" vertical="top"/>
    </xf>
    <xf numFmtId="1" fontId="4" fillId="0" borderId="0" xfId="0" applyNumberFormat="1" applyFont="1" applyFill="1" applyAlignment="1">
      <alignment horizontal="center"/>
    </xf>
    <xf numFmtId="1" fontId="3" fillId="3" borderId="21" xfId="0" applyNumberFormat="1" applyFont="1" applyFill="1" applyBorder="1" applyAlignment="1">
      <alignment horizontal="center" vertical="top"/>
    </xf>
    <xf numFmtId="1" fontId="3" fillId="3" borderId="10" xfId="0" applyNumberFormat="1" applyFont="1" applyFill="1" applyBorder="1" applyAlignment="1">
      <alignment horizontal="center" vertical="top"/>
    </xf>
    <xf numFmtId="1" fontId="3" fillId="3" borderId="0" xfId="0" applyNumberFormat="1" applyFont="1" applyFill="1" applyBorder="1" applyAlignment="1">
      <alignment horizontal="center" vertical="top"/>
    </xf>
    <xf numFmtId="1" fontId="4" fillId="0" borderId="10" xfId="0" applyNumberFormat="1" applyFont="1" applyFill="1" applyBorder="1" applyAlignment="1">
      <alignment horizontal="center" vertical="top"/>
    </xf>
    <xf numFmtId="1" fontId="4" fillId="0" borderId="0" xfId="0" applyNumberFormat="1" applyFont="1" applyFill="1" applyBorder="1" applyAlignment="1">
      <alignment horizontal="center" vertical="top"/>
    </xf>
    <xf numFmtId="1" fontId="3" fillId="0" borderId="10" xfId="0" applyNumberFormat="1" applyFont="1" applyFill="1" applyBorder="1" applyAlignment="1">
      <alignment horizontal="center" vertical="top"/>
    </xf>
    <xf numFmtId="1" fontId="3" fillId="0" borderId="0" xfId="0" applyNumberFormat="1"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ooya/Desktop/sedaagh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ow r="2">
          <cell r="AC2" t="str">
            <v>آبگوشت ساده</v>
          </cell>
        </row>
        <row r="5">
          <cell r="AC5" t="str">
            <v>آبگوشت مرغ</v>
          </cell>
        </row>
        <row r="7">
          <cell r="AC7" t="str">
            <v>اشکنه</v>
          </cell>
        </row>
        <row r="9">
          <cell r="AC9" t="str">
            <v>تاس کباب</v>
          </cell>
        </row>
        <row r="11">
          <cell r="AC11" t="str">
            <v>تاس کباب لوبیا سبز</v>
          </cell>
        </row>
        <row r="13">
          <cell r="AC13" t="str">
            <v>تاس کباب کوفته بادمجان</v>
          </cell>
        </row>
        <row r="15">
          <cell r="AC15" t="str">
            <v>تاس کباب کوفته ریزه</v>
          </cell>
        </row>
        <row r="17">
          <cell r="AC17" t="str">
            <v>آش آبغوره</v>
          </cell>
        </row>
        <row r="19">
          <cell r="AC19" t="str">
            <v>آش آلو</v>
          </cell>
          <cell r="AX19" t="str">
            <v>صبحانه</v>
          </cell>
          <cell r="AY19" t="str">
            <v>کاسه</v>
          </cell>
          <cell r="BA19">
            <v>1</v>
          </cell>
        </row>
        <row r="20">
          <cell r="AX20" t="str">
            <v>میان1</v>
          </cell>
          <cell r="AY20" t="str">
            <v>کف دست</v>
          </cell>
          <cell r="BA20">
            <v>2</v>
          </cell>
        </row>
        <row r="21">
          <cell r="AC21" t="str">
            <v>آش جو</v>
          </cell>
          <cell r="AX21" t="str">
            <v>ناهار</v>
          </cell>
          <cell r="AY21" t="str">
            <v>لیوان</v>
          </cell>
          <cell r="BA21">
            <v>3</v>
          </cell>
        </row>
        <row r="22">
          <cell r="AX22" t="str">
            <v>میان2</v>
          </cell>
          <cell r="AY22" t="str">
            <v>قاشق</v>
          </cell>
          <cell r="BA22">
            <v>4</v>
          </cell>
        </row>
        <row r="23">
          <cell r="AC23" t="str">
            <v>آش رشته</v>
          </cell>
          <cell r="AX23" t="str">
            <v>شام</v>
          </cell>
          <cell r="AY23" t="str">
            <v>گرم</v>
          </cell>
          <cell r="BA23">
            <v>5</v>
          </cell>
        </row>
        <row r="24">
          <cell r="AX24" t="str">
            <v>آخرشب</v>
          </cell>
          <cell r="AY24" t="str">
            <v>استکان</v>
          </cell>
          <cell r="BA24">
            <v>6</v>
          </cell>
        </row>
        <row r="25">
          <cell r="AC25" t="str">
            <v>آش گوجه</v>
          </cell>
          <cell r="AY25" t="str">
            <v>عدد</v>
          </cell>
          <cell r="BA25">
            <v>7</v>
          </cell>
        </row>
        <row r="26">
          <cell r="BA26">
            <v>8</v>
          </cell>
        </row>
        <row r="27">
          <cell r="AC27" t="str">
            <v>آش ماست</v>
          </cell>
          <cell r="BA27">
            <v>910</v>
          </cell>
        </row>
        <row r="28">
          <cell r="F28">
            <v>100</v>
          </cell>
          <cell r="G28">
            <v>30.012004801920767</v>
          </cell>
          <cell r="H28">
            <v>10</v>
          </cell>
          <cell r="BA28">
            <v>11</v>
          </cell>
        </row>
        <row r="29">
          <cell r="AC29" t="str">
            <v>حلیم گندم</v>
          </cell>
          <cell r="BA29">
            <v>12</v>
          </cell>
        </row>
        <row r="30">
          <cell r="BA30">
            <v>13</v>
          </cell>
        </row>
        <row r="31">
          <cell r="AC31" t="str">
            <v>سوپ جو</v>
          </cell>
          <cell r="BA31">
            <v>14</v>
          </cell>
        </row>
        <row r="32">
          <cell r="BA32">
            <v>15</v>
          </cell>
        </row>
        <row r="33">
          <cell r="AC33" t="str">
            <v>سوپ ورمیشل</v>
          </cell>
          <cell r="BA33">
            <v>16</v>
          </cell>
        </row>
        <row r="34">
          <cell r="BA34">
            <v>17</v>
          </cell>
        </row>
        <row r="35">
          <cell r="AC35" t="str">
            <v>سوپ عدس</v>
          </cell>
          <cell r="BA35">
            <v>18</v>
          </cell>
        </row>
        <row r="36">
          <cell r="BA36">
            <v>19</v>
          </cell>
        </row>
        <row r="37">
          <cell r="AC37" t="str">
            <v>سوپ گل کلم</v>
          </cell>
          <cell r="BA37">
            <v>20</v>
          </cell>
        </row>
        <row r="39">
          <cell r="AC39" t="str">
            <v>برنج سفید ( کته)+ فیبر</v>
          </cell>
        </row>
        <row r="41">
          <cell r="AC41" t="str">
            <v>برنج سفید ( کته)+ فیبر</v>
          </cell>
        </row>
        <row r="43">
          <cell r="AC43" t="str">
            <v>باقلا پلو</v>
          </cell>
        </row>
        <row r="44">
          <cell r="G44">
            <v>70.0280112044818</v>
          </cell>
          <cell r="H44">
            <v>120.19230769230769</v>
          </cell>
          <cell r="I44">
            <v>60.096153846153847</v>
          </cell>
        </row>
        <row r="45">
          <cell r="AC45" t="str">
            <v>ته چین مرغ</v>
          </cell>
        </row>
        <row r="47">
          <cell r="AC47" t="str">
            <v xml:space="preserve">کته گوجه </v>
          </cell>
        </row>
        <row r="49">
          <cell r="AC49" t="str">
            <v>رشته پلو</v>
          </cell>
        </row>
        <row r="51">
          <cell r="AC51" t="str">
            <v>زرشک پلو</v>
          </cell>
        </row>
        <row r="53">
          <cell r="AC53" t="str">
            <v>عدس پلو با گوشت</v>
          </cell>
        </row>
        <row r="55">
          <cell r="AC55" t="str">
            <v>عدس پلو</v>
          </cell>
        </row>
        <row r="57">
          <cell r="AC57" t="str">
            <v>کلم پلو</v>
          </cell>
        </row>
        <row r="59">
          <cell r="AC59" t="str">
            <v>لوبیا پلو</v>
          </cell>
        </row>
        <row r="61">
          <cell r="AC61" t="str">
            <v>زیره پلو</v>
          </cell>
        </row>
        <row r="63">
          <cell r="AC63" t="str">
            <v>شیرین پلو</v>
          </cell>
        </row>
        <row r="65">
          <cell r="AC65" t="str">
            <v>باقالی پلو با مرغ</v>
          </cell>
        </row>
        <row r="67">
          <cell r="AC67" t="str">
            <v xml:space="preserve">سبزی پلو </v>
          </cell>
        </row>
        <row r="69">
          <cell r="AC69" t="str">
            <v>هویج پلو</v>
          </cell>
        </row>
        <row r="71">
          <cell r="AC71" t="str">
            <v>میگو پلو</v>
          </cell>
        </row>
        <row r="73">
          <cell r="AC73" t="str">
            <v>استانبولی پلو(لوبیا سبز)</v>
          </cell>
        </row>
        <row r="75">
          <cell r="AC75" t="str">
            <v>لوبیا پلو( چشم بلبلی)</v>
          </cell>
        </row>
        <row r="77">
          <cell r="AC77" t="str">
            <v>آلبالو پلو</v>
          </cell>
        </row>
        <row r="79">
          <cell r="AC79" t="str">
            <v>خورشت آلو بخارا</v>
          </cell>
        </row>
        <row r="81">
          <cell r="AC81" t="str">
            <v>خورشت کنگر</v>
          </cell>
        </row>
        <row r="83">
          <cell r="AC83" t="str">
            <v>خورشت بادمجان</v>
          </cell>
        </row>
        <row r="85">
          <cell r="AC85" t="str">
            <v>خورشت بامیه</v>
          </cell>
        </row>
        <row r="87">
          <cell r="AC87" t="str">
            <v>خورشت به</v>
          </cell>
        </row>
        <row r="89">
          <cell r="AC89" t="str">
            <v>خورشت فسنجان</v>
          </cell>
        </row>
        <row r="91">
          <cell r="AC91" t="str">
            <v>خورشت قورمه سبزی</v>
          </cell>
        </row>
        <row r="93">
          <cell r="AC93" t="str">
            <v>خورشت قیمه</v>
          </cell>
        </row>
        <row r="95">
          <cell r="AC95" t="str">
            <v>خورشت کرفس</v>
          </cell>
        </row>
        <row r="97">
          <cell r="AC97" t="str">
            <v>خورشت لوبیا سبز</v>
          </cell>
        </row>
        <row r="99">
          <cell r="AC99" t="str">
            <v>خورشت گل کلم</v>
          </cell>
        </row>
        <row r="101">
          <cell r="AC101" t="str">
            <v>خورشت قلیه ماهی</v>
          </cell>
        </row>
        <row r="103">
          <cell r="AC103" t="str">
            <v>ران مرغ آب پز</v>
          </cell>
        </row>
        <row r="105">
          <cell r="AC105" t="str">
            <v>سینه مرغ پخته</v>
          </cell>
        </row>
        <row r="107">
          <cell r="AC107" t="str">
            <v>کوکو بادمجان</v>
          </cell>
        </row>
        <row r="109">
          <cell r="AC109" t="str">
            <v>کوکو سبزی</v>
          </cell>
        </row>
        <row r="111">
          <cell r="AC111" t="str">
            <v>کوکو سیب زمینی</v>
          </cell>
        </row>
        <row r="113">
          <cell r="AC113" t="str">
            <v>کوکو گوشت</v>
          </cell>
        </row>
        <row r="115">
          <cell r="AC115" t="str">
            <v>کوکو مرغ</v>
          </cell>
        </row>
        <row r="117">
          <cell r="AC117" t="str">
            <v>کوکو اسفناج</v>
          </cell>
        </row>
        <row r="119">
          <cell r="AC119" t="str">
            <v>کوکو لوبیا سبز</v>
          </cell>
        </row>
        <row r="121">
          <cell r="AC121" t="str">
            <v>کوکو بروکلی</v>
          </cell>
        </row>
        <row r="123">
          <cell r="AC123" t="str">
            <v>شامی کباب</v>
          </cell>
        </row>
        <row r="125">
          <cell r="AC125" t="str">
            <v>کتلت</v>
          </cell>
        </row>
        <row r="127">
          <cell r="AC127" t="str">
            <v>کباب کوبیده</v>
          </cell>
        </row>
        <row r="129">
          <cell r="AC129" t="str">
            <v>کباب برگ</v>
          </cell>
        </row>
        <row r="131">
          <cell r="AC131" t="str">
            <v>کباب ماهی تابه ای</v>
          </cell>
        </row>
        <row r="133">
          <cell r="AC133" t="str">
            <v>کباب کوبیده مرغ</v>
          </cell>
        </row>
        <row r="135">
          <cell r="AC135" t="str">
            <v>جوجه کباب لاری</v>
          </cell>
        </row>
        <row r="137">
          <cell r="AC137" t="str">
            <v>ماهی کباب</v>
          </cell>
        </row>
        <row r="139">
          <cell r="AC139" t="str">
            <v>کباب بوقلمون</v>
          </cell>
        </row>
        <row r="141">
          <cell r="AC141" t="str">
            <v>کوفته سبزی</v>
          </cell>
        </row>
        <row r="143">
          <cell r="AC143" t="str">
            <v>کوفته تبریزی</v>
          </cell>
        </row>
        <row r="145">
          <cell r="AC145" t="str">
            <v>برانی اسفناج</v>
          </cell>
        </row>
        <row r="147">
          <cell r="AC147" t="str">
            <v>برانی کنگر</v>
          </cell>
        </row>
        <row r="149">
          <cell r="AC149" t="str">
            <v>نرگسی اسفناج</v>
          </cell>
        </row>
        <row r="151">
          <cell r="AC151" t="str">
            <v>بیف استرگانف</v>
          </cell>
        </row>
        <row r="153">
          <cell r="AC153" t="str">
            <v>خوراک گوشت بادمجان</v>
          </cell>
        </row>
        <row r="155">
          <cell r="AC155" t="str">
            <v>حلیم بادمجان</v>
          </cell>
        </row>
        <row r="157">
          <cell r="AC157" t="str">
            <v>خوراک بادمجان و قارچ</v>
          </cell>
        </row>
        <row r="159">
          <cell r="AC159" t="str">
            <v>املت قارچ</v>
          </cell>
        </row>
        <row r="161">
          <cell r="AC161" t="str">
            <v>املت گوجه فرنگی</v>
          </cell>
        </row>
        <row r="163">
          <cell r="AC163" t="str">
            <v>سوسیس بندری</v>
          </cell>
        </row>
        <row r="165">
          <cell r="AC165" t="str">
            <v>کشک بادمجان</v>
          </cell>
        </row>
        <row r="167">
          <cell r="AC167" t="str">
            <v>لازانیا گوشت و سبزیجات</v>
          </cell>
        </row>
        <row r="169">
          <cell r="AC169" t="str">
            <v>ماکارونی و گوشت چرخ کرده</v>
          </cell>
        </row>
        <row r="171">
          <cell r="AC171" t="str">
            <v>ماکارونی و سویا</v>
          </cell>
        </row>
        <row r="173">
          <cell r="AC173" t="str">
            <v>سالاد ماکارونی رژیمی</v>
          </cell>
        </row>
        <row r="175">
          <cell r="AC175" t="str">
            <v>دلمه بادمجان</v>
          </cell>
        </row>
        <row r="177">
          <cell r="AC177" t="str">
            <v>دلمه فلفل دلمه</v>
          </cell>
        </row>
        <row r="179">
          <cell r="AC179" t="str">
            <v>دلمه پیاز</v>
          </cell>
        </row>
        <row r="181">
          <cell r="AC181" t="str">
            <v>دلمه گوجه فرنگی</v>
          </cell>
        </row>
        <row r="183">
          <cell r="AC183" t="str">
            <v>دلمه کدو</v>
          </cell>
        </row>
        <row r="185">
          <cell r="AC185" t="str">
            <v>سالاد الویه بدون سس</v>
          </cell>
        </row>
        <row r="187">
          <cell r="AC187" t="str">
            <v>سالاد الویه بدون سس</v>
          </cell>
        </row>
        <row r="189">
          <cell r="AC189" t="str">
            <v>شنتسل مرغ</v>
          </cell>
        </row>
        <row r="191">
          <cell r="AC191" t="str">
            <v>مرغ سوخاری</v>
          </cell>
        </row>
        <row r="193">
          <cell r="AC193" t="str">
            <v xml:space="preserve">ناگت </v>
          </cell>
        </row>
        <row r="195">
          <cell r="AC195" t="str">
            <v>سیب زمینی سرخ کرده خانگی</v>
          </cell>
        </row>
        <row r="197">
          <cell r="AC197" t="str">
            <v>سیب زمینی آب پز</v>
          </cell>
        </row>
        <row r="199">
          <cell r="AC199" t="str">
            <v>پوره سیب زمینی</v>
          </cell>
        </row>
        <row r="201">
          <cell r="AC201" t="str">
            <v>فلافل سرخ شده (3-4 عدد)</v>
          </cell>
        </row>
        <row r="203">
          <cell r="AC203" t="str">
            <v>همبر 60% گوشت ذغالی بدون نان</v>
          </cell>
        </row>
        <row r="205">
          <cell r="AC205" t="str">
            <v>همبر 75% گوشت ذغالی بدون نان</v>
          </cell>
        </row>
        <row r="207">
          <cell r="AC207" t="str">
            <v>همبر 90% گوشت ذغالی بدون نان</v>
          </cell>
        </row>
        <row r="209">
          <cell r="AC209" t="str">
            <v>ساندویچ همبرگر آماده</v>
          </cell>
        </row>
        <row r="211">
          <cell r="AC211" t="str">
            <v>خیار</v>
          </cell>
        </row>
        <row r="213">
          <cell r="AC213" t="str">
            <v>گوجه</v>
          </cell>
        </row>
        <row r="215">
          <cell r="AC215" t="str">
            <v>سبزی</v>
          </cell>
        </row>
        <row r="217">
          <cell r="AC217" t="str">
            <v>کاهو</v>
          </cell>
        </row>
        <row r="219">
          <cell r="AC219" t="str">
            <v xml:space="preserve">هویج </v>
          </cell>
        </row>
        <row r="221">
          <cell r="AC221" t="str">
            <v>سالاد مرغ و سبزیجات</v>
          </cell>
        </row>
        <row r="223">
          <cell r="AC223" t="str">
            <v>سالاد نخودفرنگی و کاهو</v>
          </cell>
        </row>
        <row r="225">
          <cell r="AC225" t="str">
            <v>سالاد اسفناج با تن ماهی</v>
          </cell>
        </row>
        <row r="227">
          <cell r="AC227" t="str">
            <v>سالاد اووکادو و تن ماهی</v>
          </cell>
        </row>
        <row r="229">
          <cell r="AC229" t="str">
            <v>برنج گل کلم</v>
          </cell>
        </row>
        <row r="231">
          <cell r="AC231" t="str">
            <v>اوتمیل میوه و مغزها</v>
          </cell>
        </row>
        <row r="233">
          <cell r="AC233" t="str">
            <v>ساندویچ کره بادام زمینی و موز</v>
          </cell>
        </row>
        <row r="235">
          <cell r="AC235" t="str">
            <v>گرین اسموتی</v>
          </cell>
        </row>
        <row r="237">
          <cell r="AC237" t="str">
            <v>نان(به طور میانگین)</v>
          </cell>
        </row>
        <row r="239">
          <cell r="AC239" t="str">
            <v>نان لواش</v>
          </cell>
        </row>
        <row r="241">
          <cell r="AC241" t="str">
            <v>نان بربری</v>
          </cell>
        </row>
        <row r="243">
          <cell r="AC243" t="str">
            <v>نان سنگک</v>
          </cell>
        </row>
        <row r="245">
          <cell r="AC245" t="str">
            <v>نان ساندویچی</v>
          </cell>
        </row>
        <row r="247">
          <cell r="AC247" t="str">
            <v>نان تست چند غله</v>
          </cell>
        </row>
        <row r="249">
          <cell r="AC249" t="str">
            <v>نان تست</v>
          </cell>
        </row>
        <row r="251">
          <cell r="AC251" t="str">
            <v>نان تست جو</v>
          </cell>
        </row>
        <row r="253">
          <cell r="AC253" t="str">
            <v>ماست پرچرب</v>
          </cell>
        </row>
        <row r="255">
          <cell r="AC255" t="str">
            <v>ماست کم چرب</v>
          </cell>
        </row>
        <row r="257">
          <cell r="AC257" t="str">
            <v>ماست لاکتیویا 4.5% پربی</v>
          </cell>
        </row>
        <row r="259">
          <cell r="AC259" t="str">
            <v>ماست ایسلندی</v>
          </cell>
        </row>
        <row r="261">
          <cell r="AC261" t="str">
            <v>ماست موسیر</v>
          </cell>
        </row>
        <row r="263">
          <cell r="AC263" t="str">
            <v>شیر 3% چربی</v>
          </cell>
        </row>
        <row r="265">
          <cell r="AC265" t="str">
            <v>شیر 2% چربی</v>
          </cell>
        </row>
        <row r="267">
          <cell r="AC267" t="str">
            <v>شیر 1.5% چربی</v>
          </cell>
        </row>
        <row r="269">
          <cell r="AC269" t="str">
            <v>شیر بدون چربی</v>
          </cell>
        </row>
        <row r="271">
          <cell r="AC271" t="str">
            <v>شیر موز</v>
          </cell>
        </row>
        <row r="273">
          <cell r="AC273" t="str">
            <v>شیر نارگیل</v>
          </cell>
        </row>
        <row r="275">
          <cell r="AC275" t="str">
            <v>شیر سویا</v>
          </cell>
        </row>
        <row r="277">
          <cell r="AC277" t="str">
            <v>پنیر خامه ای</v>
          </cell>
        </row>
        <row r="279">
          <cell r="AC279" t="str">
            <v>پنیرسفید ایرانی</v>
          </cell>
        </row>
        <row r="281">
          <cell r="AC281" t="str">
            <v>پنیر لاکتیکی</v>
          </cell>
        </row>
        <row r="283">
          <cell r="AC283" t="str">
            <v>پنیر کاتیج</v>
          </cell>
        </row>
        <row r="285">
          <cell r="AC285" t="str">
            <v>پنیر کم چرب</v>
          </cell>
        </row>
        <row r="287">
          <cell r="AC287" t="str">
            <v>پنیر لبنه</v>
          </cell>
        </row>
        <row r="289">
          <cell r="AC289" t="str">
            <v>دوغ</v>
          </cell>
        </row>
        <row r="291">
          <cell r="AC291" t="str">
            <v>میوه ها(یک عدد متوسط)</v>
          </cell>
        </row>
        <row r="293">
          <cell r="AC293" t="str">
            <v>خرما تازه</v>
          </cell>
        </row>
        <row r="295">
          <cell r="AC295" t="str">
            <v>خرما خشک</v>
          </cell>
        </row>
        <row r="297">
          <cell r="AC297" t="str">
            <v>کشمش</v>
          </cell>
        </row>
        <row r="299">
          <cell r="AC299" t="str">
            <v>انجیر</v>
          </cell>
        </row>
        <row r="301">
          <cell r="AC301" t="str">
            <v>حلوا ارده بدون شکر</v>
          </cell>
        </row>
        <row r="303">
          <cell r="AC303" t="str">
            <v>حلوا ارده</v>
          </cell>
        </row>
        <row r="305">
          <cell r="AC305" t="str">
            <v>کره بادام زمینی</v>
          </cell>
        </row>
        <row r="307">
          <cell r="AC307" t="str">
            <v>بادام زمینی</v>
          </cell>
        </row>
        <row r="309">
          <cell r="AC309" t="str">
            <v>گردو</v>
          </cell>
        </row>
        <row r="311">
          <cell r="AC311" t="str">
            <v>بادام</v>
          </cell>
        </row>
        <row r="313">
          <cell r="AC313" t="str">
            <v>فندق</v>
          </cell>
        </row>
        <row r="315">
          <cell r="AC315" t="str">
            <v>پسته</v>
          </cell>
        </row>
        <row r="317">
          <cell r="AC317" t="str">
            <v>پسته تازه</v>
          </cell>
        </row>
        <row r="319">
          <cell r="AC319" t="str">
            <v>تخمه آفتابگردان</v>
          </cell>
        </row>
        <row r="321">
          <cell r="AC321" t="str">
            <v>تخمه کدو</v>
          </cell>
        </row>
        <row r="323">
          <cell r="AC323" t="str">
            <v>کنجد</v>
          </cell>
        </row>
        <row r="325">
          <cell r="AC325" t="str">
            <v>بادام هندی</v>
          </cell>
        </row>
        <row r="327">
          <cell r="AC327" t="str">
            <v>آجیل سویا</v>
          </cell>
        </row>
        <row r="329">
          <cell r="AC329" t="str">
            <v>پاپ کورن</v>
          </cell>
        </row>
        <row r="331">
          <cell r="AC331" t="str">
            <v>لواشک</v>
          </cell>
        </row>
        <row r="333">
          <cell r="AC333" t="str">
            <v>قهوه /چای /چای سبز / عرقیات</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540"/>
  <sheetViews>
    <sheetView rightToLeft="1" tabSelected="1" workbookViewId="0">
      <pane ySplit="1" topLeftCell="A2" activePane="bottomLeft" state="frozen"/>
      <selection pane="bottomLeft" activeCell="D332" sqref="D332"/>
    </sheetView>
  </sheetViews>
  <sheetFormatPr defaultColWidth="8.85546875" defaultRowHeight="21"/>
  <cols>
    <col min="1" max="1" width="26.5703125" style="9" customWidth="1"/>
    <col min="2" max="2" width="9.7109375" style="9" bestFit="1" customWidth="1"/>
    <col min="3" max="3" width="9.140625" style="9" bestFit="1" customWidth="1"/>
    <col min="4" max="4" width="13.5703125" style="198" customWidth="1"/>
    <col min="5" max="5" width="12.140625" style="9" hidden="1" customWidth="1"/>
    <col min="6" max="6" width="21.85546875" style="156" bestFit="1" customWidth="1"/>
    <col min="7" max="7" width="16.42578125" style="157" bestFit="1" customWidth="1"/>
    <col min="8" max="8" width="18" style="157" bestFit="1" customWidth="1"/>
    <col min="9" max="9" width="14.42578125" style="157" bestFit="1" customWidth="1"/>
    <col min="10" max="10" width="11.5703125" style="157" bestFit="1" customWidth="1"/>
    <col min="11" max="11" width="10" style="157" customWidth="1"/>
    <col min="12" max="12" width="16" style="158" customWidth="1"/>
    <col min="13" max="13" width="11.85546875" style="21" hidden="1" customWidth="1"/>
    <col min="14" max="14" width="11" style="21" hidden="1" customWidth="1"/>
    <col min="15" max="15" width="8.85546875" style="21" hidden="1" customWidth="1"/>
    <col min="16" max="16" width="8" style="21" hidden="1" customWidth="1"/>
    <col min="17" max="17" width="9.140625" style="21" hidden="1" customWidth="1"/>
    <col min="18" max="18" width="22.140625" style="206" hidden="1" customWidth="1"/>
    <col min="19" max="19" width="7.42578125" style="63" hidden="1" customWidth="1"/>
    <col min="20" max="20" width="9.85546875" style="207" hidden="1" customWidth="1"/>
    <col min="21" max="21" width="7.42578125" style="63" hidden="1" customWidth="1"/>
    <col min="22" max="22" width="7.85546875" style="63" hidden="1" customWidth="1"/>
    <col min="23" max="26" width="9.42578125" style="63" hidden="1" customWidth="1"/>
    <col min="27" max="27" width="10.42578125" style="63" hidden="1" customWidth="1"/>
    <col min="28" max="28" width="14.140625" style="208" hidden="1" customWidth="1"/>
    <col min="29" max="29" width="28" style="209" customWidth="1"/>
    <col min="30" max="30" width="12.140625" style="210" customWidth="1"/>
    <col min="31" max="31" width="13.42578125" style="211" customWidth="1"/>
    <col min="32" max="32" width="9.42578125" style="155" customWidth="1"/>
    <col min="33" max="33" width="14.85546875" style="212" customWidth="1"/>
    <col min="34" max="34" width="19.5703125" style="21" hidden="1" customWidth="1"/>
    <col min="35" max="35" width="12.85546875" style="21" hidden="1" customWidth="1"/>
    <col min="36" max="36" width="6.85546875" style="21" hidden="1" customWidth="1"/>
    <col min="37" max="37" width="14.5703125" style="21" hidden="1" customWidth="1"/>
    <col min="38" max="38" width="13.140625" style="21" hidden="1" customWidth="1"/>
    <col min="39" max="39" width="8.42578125" style="21" hidden="1" customWidth="1"/>
    <col min="40" max="40" width="7.42578125" style="21" hidden="1" customWidth="1"/>
    <col min="41" max="41" width="6.42578125" style="21" hidden="1" customWidth="1"/>
    <col min="42" max="42" width="6.85546875" style="21" hidden="1" customWidth="1"/>
    <col min="43" max="43" width="5.5703125" style="21" hidden="1" customWidth="1"/>
    <col min="44" max="44" width="7.42578125" style="21" hidden="1" customWidth="1"/>
    <col min="45" max="45" width="5.5703125" style="21" hidden="1" customWidth="1"/>
    <col min="46" max="46" width="10.42578125" style="21" hidden="1" customWidth="1"/>
    <col min="47" max="47" width="13.42578125" style="21" hidden="1" customWidth="1"/>
    <col min="48" max="48" width="8.42578125" style="21" hidden="1" customWidth="1"/>
    <col min="49" max="49" width="9.85546875" style="21" hidden="1" customWidth="1"/>
    <col min="50" max="50" width="18.140625" style="21" hidden="1" customWidth="1"/>
    <col min="51" max="51" width="18.42578125" style="21" hidden="1" customWidth="1"/>
    <col min="52" max="52" width="8.42578125" style="21" hidden="1" customWidth="1"/>
    <col min="53" max="53" width="16.42578125" style="21" hidden="1" customWidth="1"/>
    <col min="54" max="54" width="15.5703125" style="21" hidden="1" customWidth="1"/>
    <col min="55" max="55" width="8.42578125" style="21" hidden="1" customWidth="1"/>
    <col min="56" max="56" width="27.42578125" style="21" hidden="1" customWidth="1"/>
    <col min="57" max="57" width="10.42578125" style="21" hidden="1" customWidth="1"/>
    <col min="58" max="61" width="27.42578125" style="21" hidden="1" customWidth="1"/>
    <col min="62" max="62" width="12.42578125" style="21" hidden="1" customWidth="1"/>
    <col min="63" max="63" width="11" style="21" hidden="1" customWidth="1"/>
    <col min="64" max="64" width="20.42578125" style="21" hidden="1" customWidth="1"/>
    <col min="65" max="65" width="5.42578125" style="21" hidden="1" customWidth="1"/>
    <col min="66" max="66" width="20.42578125" style="21" hidden="1" customWidth="1"/>
    <col min="67" max="67" width="19.85546875" style="21" hidden="1" customWidth="1"/>
    <col min="68" max="68" width="8.85546875" style="21" hidden="1" customWidth="1"/>
    <col min="69" max="69" width="13.140625" style="21" hidden="1" customWidth="1"/>
    <col min="70" max="16384" width="8.85546875" style="21"/>
  </cols>
  <sheetData>
    <row r="1" spans="1:65" s="9" customFormat="1" ht="22.5" thickTop="1" thickBot="1">
      <c r="A1" s="3" t="s">
        <v>0</v>
      </c>
      <c r="B1" s="3" t="s">
        <v>1</v>
      </c>
      <c r="C1" s="3" t="s">
        <v>2</v>
      </c>
      <c r="D1" s="4" t="s">
        <v>3</v>
      </c>
      <c r="E1" s="5" t="s">
        <v>4</v>
      </c>
      <c r="F1" s="6" t="s">
        <v>5</v>
      </c>
      <c r="G1" s="7" t="s">
        <v>6</v>
      </c>
      <c r="H1" s="7" t="s">
        <v>7</v>
      </c>
      <c r="I1" s="7" t="s">
        <v>8</v>
      </c>
      <c r="J1" s="7" t="s">
        <v>9</v>
      </c>
      <c r="K1" s="7" t="s">
        <v>10</v>
      </c>
      <c r="L1" s="8"/>
      <c r="M1" s="9" t="s">
        <v>11</v>
      </c>
      <c r="N1" s="9" t="s">
        <v>12</v>
      </c>
      <c r="O1" s="9" t="s">
        <v>13</v>
      </c>
      <c r="P1" s="9" t="s">
        <v>4</v>
      </c>
      <c r="R1" s="10"/>
      <c r="S1" s="10"/>
      <c r="T1" s="10"/>
      <c r="U1" s="10"/>
      <c r="V1" s="10"/>
      <c r="W1" s="10"/>
      <c r="X1" s="10"/>
      <c r="Y1" s="10"/>
      <c r="Z1" s="10"/>
      <c r="AA1" s="10"/>
      <c r="AB1" s="10"/>
      <c r="AC1" s="10"/>
      <c r="AD1" s="11" t="s">
        <v>11</v>
      </c>
      <c r="AE1" s="12" t="s">
        <v>12</v>
      </c>
      <c r="AF1" s="13" t="s">
        <v>13</v>
      </c>
      <c r="AG1" s="14" t="s">
        <v>4</v>
      </c>
      <c r="BB1" s="15" t="s">
        <v>14</v>
      </c>
      <c r="BC1" s="16" t="s">
        <v>15</v>
      </c>
      <c r="BD1" s="16"/>
      <c r="BE1" s="16" t="s">
        <v>16</v>
      </c>
      <c r="BF1" s="16"/>
      <c r="BG1" s="16" t="s">
        <v>17</v>
      </c>
      <c r="BH1" s="16"/>
      <c r="BI1" s="16" t="s">
        <v>18</v>
      </c>
      <c r="BJ1" s="16"/>
      <c r="BK1" s="16" t="s">
        <v>19</v>
      </c>
      <c r="BL1" s="16"/>
      <c r="BM1" s="17" t="s">
        <v>20</v>
      </c>
    </row>
    <row r="2" spans="1:65" ht="21.75" thickTop="1">
      <c r="A2" s="3" t="s">
        <v>21</v>
      </c>
      <c r="B2" s="3">
        <v>200</v>
      </c>
      <c r="C2" s="3" t="s">
        <v>22</v>
      </c>
      <c r="D2" s="4">
        <f>B2/250</f>
        <v>0.8</v>
      </c>
      <c r="E2" s="5">
        <f>B2/0.561</f>
        <v>356.50623885917997</v>
      </c>
      <c r="F2" s="18">
        <f>B2/2.77777777</f>
        <v>72.000000201600002</v>
      </c>
      <c r="G2" s="19">
        <f>B2/8.33333333</f>
        <v>24.000000009600001</v>
      </c>
      <c r="H2" s="19">
        <f>B2/8.33</f>
        <v>24.009603841536613</v>
      </c>
      <c r="I2" s="19">
        <f>B2/8.33</f>
        <v>24.009603841536613</v>
      </c>
      <c r="J2" s="19">
        <f>B2/4.16666666</f>
        <v>48.000000076800006</v>
      </c>
      <c r="K2" s="19">
        <f>B2/4.16666666</f>
        <v>48.000000076800006</v>
      </c>
      <c r="L2" s="20"/>
      <c r="M2" s="21">
        <f>F2/30*7+G2/30*1+H2/30*7+I2/30*7</f>
        <v>28.804481840077088</v>
      </c>
      <c r="N2" s="21">
        <f>G2/30*15+H2/30*15+I2/30*15+J2/30*5+K2/30*5</f>
        <v>52.009603871936619</v>
      </c>
      <c r="O2" s="21">
        <f>F2/30*5</f>
        <v>12.000000033599999</v>
      </c>
      <c r="P2" s="21">
        <f>F2/30*55+G2/30*60+H2/30*60+I2/30*60+J2/30*25+K2/30*25</f>
        <v>356.03841588294648</v>
      </c>
      <c r="R2" s="235" t="s">
        <v>21</v>
      </c>
      <c r="S2" s="229" t="s">
        <v>1</v>
      </c>
      <c r="T2" s="229">
        <f>B2</f>
        <v>200</v>
      </c>
      <c r="U2" s="229" t="s">
        <v>23</v>
      </c>
      <c r="V2" s="229">
        <f>M2</f>
        <v>28.804481840077088</v>
      </c>
      <c r="W2" s="229" t="s">
        <v>24</v>
      </c>
      <c r="X2" s="229">
        <f>N2</f>
        <v>52.009603871936619</v>
      </c>
      <c r="Y2" s="229" t="s">
        <v>13</v>
      </c>
      <c r="Z2" s="229">
        <f>O2</f>
        <v>12.000000033599999</v>
      </c>
      <c r="AA2" s="229" t="s">
        <v>4</v>
      </c>
      <c r="AB2" s="231">
        <f>P2</f>
        <v>356.03841588294648</v>
      </c>
      <c r="AC2" s="233" t="s">
        <v>21</v>
      </c>
      <c r="AD2" s="22">
        <f>VLOOKUP(AC2,R2:AB2,5,0)</f>
        <v>28.804481840077088</v>
      </c>
      <c r="AE2" s="23">
        <f>VLOOKUP(AC2,R2:AB4,7,0)</f>
        <v>52.009603871936619</v>
      </c>
      <c r="AF2" s="24">
        <f>VLOOKUP(AC2,R2:AB4,9,0)</f>
        <v>12.000000033599999</v>
      </c>
      <c r="AG2" s="25">
        <f>VLOOKUP(AC2,R2:AB4,11,0)</f>
        <v>356.03841588294648</v>
      </c>
      <c r="BB2" s="227" t="s">
        <v>25</v>
      </c>
      <c r="BC2" s="228"/>
      <c r="BD2" s="228"/>
      <c r="BE2" s="228"/>
      <c r="BF2" s="228"/>
      <c r="BG2" s="228"/>
      <c r="BH2" s="228"/>
      <c r="BI2" s="228"/>
      <c r="BJ2" s="228"/>
      <c r="BK2" s="228"/>
      <c r="BL2" s="228"/>
      <c r="BM2" s="240"/>
    </row>
    <row r="3" spans="1:65" ht="21.75" thickBot="1">
      <c r="A3" s="3" t="s">
        <v>0</v>
      </c>
      <c r="B3" s="3" t="s">
        <v>1</v>
      </c>
      <c r="C3" s="3" t="s">
        <v>2</v>
      </c>
      <c r="D3" s="4" t="s">
        <v>3</v>
      </c>
      <c r="E3" s="5" t="s">
        <v>4</v>
      </c>
      <c r="F3" s="18" t="s">
        <v>26</v>
      </c>
      <c r="G3" s="19" t="s">
        <v>6</v>
      </c>
      <c r="H3" s="19" t="s">
        <v>27</v>
      </c>
      <c r="I3" s="19" t="s">
        <v>9</v>
      </c>
      <c r="J3" s="19" t="s">
        <v>10</v>
      </c>
      <c r="K3" s="19"/>
      <c r="L3" s="20"/>
      <c r="R3" s="235"/>
      <c r="S3" s="229"/>
      <c r="T3" s="229"/>
      <c r="U3" s="229"/>
      <c r="V3" s="229"/>
      <c r="W3" s="229"/>
      <c r="X3" s="229"/>
      <c r="Y3" s="229"/>
      <c r="Z3" s="229"/>
      <c r="AA3" s="229"/>
      <c r="AB3" s="231"/>
      <c r="AC3" s="233"/>
      <c r="AD3" s="26" t="s">
        <v>11</v>
      </c>
      <c r="AE3" s="27" t="s">
        <v>12</v>
      </c>
      <c r="AF3" s="28" t="s">
        <v>13</v>
      </c>
      <c r="AG3" s="29" t="s">
        <v>4</v>
      </c>
      <c r="BB3" s="227"/>
      <c r="BC3" s="228"/>
      <c r="BD3" s="228"/>
      <c r="BE3" s="228"/>
      <c r="BF3" s="228"/>
      <c r="BG3" s="228"/>
      <c r="BH3" s="228"/>
      <c r="BI3" s="228"/>
      <c r="BJ3" s="228"/>
      <c r="BK3" s="228"/>
      <c r="BL3" s="228"/>
      <c r="BM3" s="240"/>
    </row>
    <row r="4" spans="1:65" s="9" customFormat="1" ht="21.75" thickBot="1">
      <c r="A4" s="3" t="s">
        <v>28</v>
      </c>
      <c r="B4" s="3">
        <v>250</v>
      </c>
      <c r="C4" s="3" t="s">
        <v>22</v>
      </c>
      <c r="D4" s="4">
        <f>B4/250</f>
        <v>1</v>
      </c>
      <c r="E4" s="5">
        <f>B4/0.681</f>
        <v>367.1071953010279</v>
      </c>
      <c r="F4" s="18">
        <f>B4/2.77777777</f>
        <v>90.000000251999992</v>
      </c>
      <c r="G4" s="19">
        <f>B4/8.33333333</f>
        <v>30.000000011999997</v>
      </c>
      <c r="H4" s="19">
        <f>B4/12.5</f>
        <v>20</v>
      </c>
      <c r="I4" s="19">
        <f>B4/4.1666666</f>
        <v>60.000000960000015</v>
      </c>
      <c r="J4" s="19">
        <f>B4/4.1666666</f>
        <v>60.000000960000015</v>
      </c>
      <c r="K4" s="19"/>
      <c r="L4" s="20"/>
      <c r="M4" s="9" t="s">
        <v>11</v>
      </c>
      <c r="N4" s="9" t="s">
        <v>12</v>
      </c>
      <c r="O4" s="9" t="s">
        <v>13</v>
      </c>
      <c r="P4" s="9" t="s">
        <v>4</v>
      </c>
      <c r="R4" s="236"/>
      <c r="S4" s="230"/>
      <c r="T4" s="230"/>
      <c r="U4" s="230"/>
      <c r="V4" s="230"/>
      <c r="W4" s="230"/>
      <c r="X4" s="230"/>
      <c r="Y4" s="230"/>
      <c r="Z4" s="230"/>
      <c r="AA4" s="230"/>
      <c r="AB4" s="232"/>
      <c r="AC4" s="234"/>
      <c r="AD4" s="26">
        <f>VLOOKUP(AC5,R5:AB6,5,0)</f>
        <v>28.666666757866661</v>
      </c>
      <c r="AE4" s="27">
        <f>VLOOKUP(AC5,R5:AB6,7,0)</f>
        <v>45.000000326000006</v>
      </c>
      <c r="AF4" s="28">
        <f>VLOOKUP(AC5,R5:AB6,9,0)</f>
        <v>16.0000000424</v>
      </c>
      <c r="AG4" s="29">
        <f>VLOOKUP(AC5,R5:AB6,11,0)</f>
        <v>367.00000147200001</v>
      </c>
      <c r="AK4" s="30" t="s">
        <v>29</v>
      </c>
      <c r="AL4" s="1" t="s">
        <v>30</v>
      </c>
      <c r="AM4" s="1"/>
      <c r="AN4" s="1" t="s">
        <v>31</v>
      </c>
      <c r="AO4" s="1" t="s">
        <v>32</v>
      </c>
      <c r="AP4" s="1" t="s">
        <v>33</v>
      </c>
      <c r="AQ4" s="1" t="s">
        <v>34</v>
      </c>
      <c r="AR4" s="1" t="s">
        <v>2</v>
      </c>
      <c r="AS4" s="1" t="s">
        <v>11</v>
      </c>
      <c r="AT4" s="1" t="s">
        <v>13</v>
      </c>
      <c r="AU4" s="1" t="s">
        <v>12</v>
      </c>
      <c r="AV4" s="31" t="s">
        <v>35</v>
      </c>
      <c r="BB4" s="227"/>
      <c r="BC4" s="228"/>
      <c r="BD4" s="228"/>
      <c r="BE4" s="228"/>
      <c r="BF4" s="228"/>
      <c r="BG4" s="228"/>
      <c r="BH4" s="228"/>
      <c r="BI4" s="228"/>
      <c r="BJ4" s="228"/>
      <c r="BK4" s="228"/>
      <c r="BL4" s="228"/>
      <c r="BM4" s="240"/>
    </row>
    <row r="5" spans="1:65">
      <c r="A5" s="3" t="s">
        <v>0</v>
      </c>
      <c r="B5" s="3" t="s">
        <v>1</v>
      </c>
      <c r="C5" s="3" t="s">
        <v>2</v>
      </c>
      <c r="D5" s="4" t="s">
        <v>3</v>
      </c>
      <c r="E5" s="5" t="s">
        <v>4</v>
      </c>
      <c r="F5" s="18" t="s">
        <v>36</v>
      </c>
      <c r="G5" s="19" t="s">
        <v>37</v>
      </c>
      <c r="H5" s="19" t="s">
        <v>38</v>
      </c>
      <c r="I5" s="19" t="s">
        <v>10</v>
      </c>
      <c r="J5" s="19"/>
      <c r="K5" s="19"/>
      <c r="L5" s="20"/>
      <c r="M5" s="21">
        <f>F4/30*7+G4/30*1+H4/30*7+I4/30*1</f>
        <v>28.666666757866661</v>
      </c>
      <c r="N5" s="21">
        <f>G4/30*15+H4/30*15+I4/30*5+J4/30*5</f>
        <v>45.000000326000006</v>
      </c>
      <c r="O5" s="21">
        <f>F4/30*5+G4/30*1</f>
        <v>16.0000000424</v>
      </c>
      <c r="P5" s="21">
        <f>F4/30*75+G4/30*25+H4/30*60+I4/30*25+J4/30+25</f>
        <v>367.00000147200001</v>
      </c>
      <c r="R5" s="241" t="s">
        <v>28</v>
      </c>
      <c r="S5" s="238" t="s">
        <v>1</v>
      </c>
      <c r="T5" s="237">
        <f>B4</f>
        <v>250</v>
      </c>
      <c r="U5" s="238" t="s">
        <v>23</v>
      </c>
      <c r="V5" s="237">
        <f t="shared" ref="V5" si="0">M5</f>
        <v>28.666666757866661</v>
      </c>
      <c r="W5" s="238" t="s">
        <v>24</v>
      </c>
      <c r="X5" s="237">
        <f t="shared" ref="X5" si="1">N5</f>
        <v>45.000000326000006</v>
      </c>
      <c r="Y5" s="238" t="s">
        <v>13</v>
      </c>
      <c r="Z5" s="237">
        <f t="shared" ref="Z5" si="2">O5</f>
        <v>16.0000000424</v>
      </c>
      <c r="AA5" s="238" t="s">
        <v>4</v>
      </c>
      <c r="AB5" s="238">
        <f t="shared" ref="AB5" si="3">P5</f>
        <v>367.00000147200001</v>
      </c>
      <c r="AC5" s="239" t="s">
        <v>28</v>
      </c>
      <c r="AD5" s="26" t="s">
        <v>11</v>
      </c>
      <c r="AE5" s="27" t="s">
        <v>12</v>
      </c>
      <c r="AF5" s="28" t="s">
        <v>13</v>
      </c>
      <c r="AG5" s="29" t="s">
        <v>4</v>
      </c>
      <c r="AK5" s="32" t="s">
        <v>15</v>
      </c>
      <c r="AL5" s="33" t="s">
        <v>39</v>
      </c>
      <c r="AM5" s="33"/>
      <c r="AN5" s="33" t="s">
        <v>39</v>
      </c>
      <c r="AO5" s="33" t="s">
        <v>9</v>
      </c>
      <c r="AP5" s="33" t="s">
        <v>40</v>
      </c>
      <c r="AQ5" s="33" t="s">
        <v>41</v>
      </c>
      <c r="AR5" s="34">
        <v>1</v>
      </c>
      <c r="AS5" s="35"/>
      <c r="AT5" s="35"/>
      <c r="AU5" s="35"/>
      <c r="AV5" s="36"/>
      <c r="AW5" s="37"/>
      <c r="BB5" s="227"/>
      <c r="BC5" s="228"/>
      <c r="BD5" s="228"/>
      <c r="BE5" s="228"/>
      <c r="BF5" s="228"/>
      <c r="BG5" s="228"/>
      <c r="BH5" s="228"/>
      <c r="BI5" s="228"/>
      <c r="BJ5" s="228"/>
      <c r="BK5" s="228"/>
      <c r="BL5" s="228"/>
      <c r="BM5" s="240"/>
    </row>
    <row r="6" spans="1:65">
      <c r="A6" s="3" t="s">
        <v>42</v>
      </c>
      <c r="B6" s="3">
        <v>250</v>
      </c>
      <c r="C6" s="3" t="s">
        <v>22</v>
      </c>
      <c r="D6" s="4">
        <f t="shared" ref="D6" si="4">B6/250</f>
        <v>1</v>
      </c>
      <c r="E6" s="5">
        <f>B4/1.76056338028169</f>
        <v>142</v>
      </c>
      <c r="F6" s="18">
        <f>B6/12.5</f>
        <v>20</v>
      </c>
      <c r="G6" s="19">
        <f>B6/4.16666</f>
        <v>60.000096000153597</v>
      </c>
      <c r="H6" s="19"/>
      <c r="I6" s="19">
        <f>B6/8.33</f>
        <v>30.012004801920767</v>
      </c>
      <c r="J6" s="19"/>
      <c r="K6" s="19"/>
      <c r="L6" s="20"/>
      <c r="M6" s="9" t="s">
        <v>11</v>
      </c>
      <c r="N6" s="9" t="s">
        <v>12</v>
      </c>
      <c r="O6" s="9" t="s">
        <v>13</v>
      </c>
      <c r="P6" s="9" t="s">
        <v>4</v>
      </c>
      <c r="R6" s="236"/>
      <c r="S6" s="232"/>
      <c r="T6" s="230"/>
      <c r="U6" s="232"/>
      <c r="V6" s="230"/>
      <c r="W6" s="232"/>
      <c r="X6" s="230"/>
      <c r="Y6" s="232"/>
      <c r="Z6" s="230"/>
      <c r="AA6" s="232"/>
      <c r="AB6" s="232"/>
      <c r="AC6" s="234"/>
      <c r="AD6" s="26">
        <f>VLOOKUP(AC7,R7:AB8,5,0)</f>
        <v>8.4666791466866353</v>
      </c>
      <c r="AE6" s="27">
        <f>VLOOKUP(AC7,R7:AB8,7,0)</f>
        <v>15.002000800320127</v>
      </c>
      <c r="AF6" s="28">
        <f>VLOOKUP(AC7,R7:AB8,9,0)</f>
        <v>6.6666762666820274</v>
      </c>
      <c r="AG6" s="29">
        <f>VLOOKUP(AC7,R7:AB8,11,0)</f>
        <v>128.34341733506199</v>
      </c>
      <c r="AK6" s="38" t="s">
        <v>15</v>
      </c>
      <c r="AL6" s="39" t="s">
        <v>43</v>
      </c>
      <c r="AM6" s="40"/>
      <c r="AN6" s="40"/>
      <c r="AO6" s="40"/>
      <c r="AP6" s="40" t="s">
        <v>44</v>
      </c>
      <c r="AQ6" s="40"/>
      <c r="AR6" s="41"/>
      <c r="AS6" s="42"/>
      <c r="AT6" s="42"/>
      <c r="AU6" s="43"/>
      <c r="AV6" s="44"/>
      <c r="BB6" s="227" t="s">
        <v>45</v>
      </c>
      <c r="BC6" s="228"/>
      <c r="BD6" s="228"/>
      <c r="BE6" s="228"/>
      <c r="BF6" s="228"/>
      <c r="BG6" s="228"/>
      <c r="BH6" s="228"/>
      <c r="BI6" s="228"/>
      <c r="BJ6" s="228"/>
      <c r="BK6" s="228"/>
      <c r="BL6" s="228"/>
      <c r="BM6" s="240"/>
    </row>
    <row r="7" spans="1:65">
      <c r="A7" s="3" t="s">
        <v>0</v>
      </c>
      <c r="B7" s="3" t="s">
        <v>1</v>
      </c>
      <c r="C7" s="3" t="s">
        <v>2</v>
      </c>
      <c r="D7" s="4" t="s">
        <v>3</v>
      </c>
      <c r="E7" s="5" t="s">
        <v>4</v>
      </c>
      <c r="F7" s="18" t="s">
        <v>46</v>
      </c>
      <c r="G7" s="19" t="s">
        <v>6</v>
      </c>
      <c r="H7" s="19" t="s">
        <v>47</v>
      </c>
      <c r="I7" s="19" t="s">
        <v>9</v>
      </c>
      <c r="J7" s="19" t="s">
        <v>48</v>
      </c>
      <c r="K7" s="19"/>
      <c r="L7" s="20"/>
      <c r="M7" s="21">
        <f>F6/30*1+G6/100*13</f>
        <v>8.4666791466866353</v>
      </c>
      <c r="N7" s="21">
        <f>F6/30*15+I6/30*5</f>
        <v>15.002000800320127</v>
      </c>
      <c r="O7" s="21">
        <f>F6/30*1+G6/30*3</f>
        <v>6.6666762666820274</v>
      </c>
      <c r="P7" s="21">
        <f>I6/30*25+G6/60*50+F6/30*80</f>
        <v>128.34341733506199</v>
      </c>
      <c r="R7" s="241" t="s">
        <v>42</v>
      </c>
      <c r="S7" s="238" t="s">
        <v>1</v>
      </c>
      <c r="T7" s="237">
        <v>100</v>
      </c>
      <c r="U7" s="238" t="s">
        <v>23</v>
      </c>
      <c r="V7" s="237">
        <f t="shared" ref="V7" si="5">M7</f>
        <v>8.4666791466866353</v>
      </c>
      <c r="W7" s="238" t="s">
        <v>24</v>
      </c>
      <c r="X7" s="237">
        <f t="shared" ref="X7" si="6">N7</f>
        <v>15.002000800320127</v>
      </c>
      <c r="Y7" s="238" t="s">
        <v>13</v>
      </c>
      <c r="Z7" s="237">
        <f t="shared" ref="Z7" si="7">O7</f>
        <v>6.6666762666820274</v>
      </c>
      <c r="AA7" s="238" t="s">
        <v>4</v>
      </c>
      <c r="AB7" s="238">
        <f t="shared" ref="AB7" si="8">P7</f>
        <v>128.34341733506199</v>
      </c>
      <c r="AC7" s="239" t="s">
        <v>42</v>
      </c>
      <c r="AD7" s="26" t="s">
        <v>11</v>
      </c>
      <c r="AE7" s="27" t="s">
        <v>12</v>
      </c>
      <c r="AF7" s="28" t="s">
        <v>13</v>
      </c>
      <c r="AG7" s="29" t="s">
        <v>4</v>
      </c>
      <c r="AK7" s="45" t="s">
        <v>15</v>
      </c>
      <c r="AL7" s="39" t="s">
        <v>43</v>
      </c>
      <c r="AM7" s="40"/>
      <c r="AN7" s="40"/>
      <c r="AO7" s="40"/>
      <c r="AP7" s="40"/>
      <c r="AQ7" s="40"/>
      <c r="AR7" s="33"/>
      <c r="AS7" s="46"/>
      <c r="AT7" s="46"/>
      <c r="AU7" s="47"/>
      <c r="AV7" s="48"/>
      <c r="BB7" s="227"/>
      <c r="BC7" s="228"/>
      <c r="BD7" s="228"/>
      <c r="BE7" s="228"/>
      <c r="BF7" s="228"/>
      <c r="BG7" s="228"/>
      <c r="BH7" s="228"/>
      <c r="BI7" s="228"/>
      <c r="BJ7" s="228"/>
      <c r="BK7" s="228"/>
      <c r="BL7" s="228"/>
      <c r="BM7" s="240"/>
    </row>
    <row r="8" spans="1:65">
      <c r="A8" s="3" t="s">
        <v>49</v>
      </c>
      <c r="B8" s="3">
        <v>250</v>
      </c>
      <c r="C8" s="3" t="s">
        <v>22</v>
      </c>
      <c r="D8" s="4">
        <f t="shared" ref="D8" si="9">B8/250</f>
        <v>1</v>
      </c>
      <c r="E8" s="5">
        <f>P9</f>
        <v>265.00000023999996</v>
      </c>
      <c r="F8" s="18">
        <f>B8/4.16666666</f>
        <v>60.000000096000001</v>
      </c>
      <c r="G8" s="19">
        <f>B8/6.25</f>
        <v>40</v>
      </c>
      <c r="H8" s="19">
        <f>B8/6.25</f>
        <v>40</v>
      </c>
      <c r="I8" s="19">
        <f>B8/6.25</f>
        <v>40</v>
      </c>
      <c r="J8" s="19">
        <v>10</v>
      </c>
      <c r="K8" s="19"/>
      <c r="L8" s="20"/>
      <c r="M8" s="9" t="s">
        <v>11</v>
      </c>
      <c r="N8" s="9" t="s">
        <v>12</v>
      </c>
      <c r="O8" s="9" t="s">
        <v>13</v>
      </c>
      <c r="P8" s="9" t="s">
        <v>4</v>
      </c>
      <c r="R8" s="236"/>
      <c r="S8" s="232"/>
      <c r="T8" s="230"/>
      <c r="U8" s="232"/>
      <c r="V8" s="230"/>
      <c r="W8" s="232"/>
      <c r="X8" s="230"/>
      <c r="Y8" s="232"/>
      <c r="Z8" s="230"/>
      <c r="AA8" s="232"/>
      <c r="AB8" s="232"/>
      <c r="AC8" s="234"/>
      <c r="AD8" s="26">
        <f>VLOOKUP(AC9,R9:AB10,5,0)</f>
        <v>22.666666689066666</v>
      </c>
      <c r="AE8" s="27">
        <f>VLOOKUP(AC9,R9:AB10,7,0)</f>
        <v>33.333333333333329</v>
      </c>
      <c r="AF8" s="28">
        <f>VLOOKUP(AC9,R9:AB10,9,0)</f>
        <v>11.666666682666666</v>
      </c>
      <c r="AG8" s="29">
        <f>VLOOKUP(AC9,R9:AB10,11,0)</f>
        <v>265.00000023999996</v>
      </c>
      <c r="AH8" s="9"/>
      <c r="AI8" s="9"/>
      <c r="AK8" s="49" t="s">
        <v>15</v>
      </c>
      <c r="AL8" s="50" t="s">
        <v>43</v>
      </c>
      <c r="AM8" s="40"/>
      <c r="AN8" s="40"/>
      <c r="AO8" s="40"/>
      <c r="AP8" s="40"/>
      <c r="AQ8" s="40"/>
      <c r="AR8" s="51"/>
      <c r="AS8" s="52"/>
      <c r="AT8" s="53"/>
      <c r="AU8" s="54"/>
      <c r="AV8" s="55"/>
      <c r="AW8" s="9"/>
      <c r="AX8" s="9"/>
      <c r="BB8" s="227"/>
      <c r="BC8" s="228"/>
      <c r="BD8" s="228"/>
      <c r="BE8" s="228"/>
      <c r="BF8" s="228"/>
      <c r="BG8" s="228"/>
      <c r="BH8" s="228"/>
      <c r="BI8" s="228"/>
      <c r="BJ8" s="228"/>
      <c r="BK8" s="228"/>
      <c r="BL8" s="228"/>
      <c r="BM8" s="240"/>
    </row>
    <row r="9" spans="1:65">
      <c r="A9" s="3" t="s">
        <v>0</v>
      </c>
      <c r="B9" s="3" t="s">
        <v>1</v>
      </c>
      <c r="C9" s="3" t="s">
        <v>2</v>
      </c>
      <c r="D9" s="4" t="s">
        <v>3</v>
      </c>
      <c r="E9" s="5" t="s">
        <v>4</v>
      </c>
      <c r="F9" s="18" t="s">
        <v>46</v>
      </c>
      <c r="G9" s="19" t="s">
        <v>6</v>
      </c>
      <c r="H9" s="19" t="s">
        <v>47</v>
      </c>
      <c r="I9" s="19" t="s">
        <v>9</v>
      </c>
      <c r="J9" s="19" t="s">
        <v>50</v>
      </c>
      <c r="K9" s="19" t="s">
        <v>51</v>
      </c>
      <c r="L9" s="20"/>
      <c r="M9" s="21">
        <f>F8/30*7+G8/30*2+H8/30*2+I8/30+2</f>
        <v>22.666666689066666</v>
      </c>
      <c r="N9" s="21">
        <f>G8/30*15+H8/30*5+I8/30*5</f>
        <v>33.333333333333329</v>
      </c>
      <c r="O9" s="21">
        <f>F8/30*5+J8/30*5</f>
        <v>11.666666682666666</v>
      </c>
      <c r="P9" s="21">
        <f>F8/30*75+G8/30*25+H8/30*25+I8/30*25+J8/30*45</f>
        <v>265.00000023999996</v>
      </c>
      <c r="R9" s="241" t="s">
        <v>49</v>
      </c>
      <c r="S9" s="238" t="s">
        <v>1</v>
      </c>
      <c r="T9" s="237">
        <f>B8</f>
        <v>250</v>
      </c>
      <c r="U9" s="238" t="s">
        <v>23</v>
      </c>
      <c r="V9" s="237">
        <f t="shared" ref="V9" si="10">M9</f>
        <v>22.666666689066666</v>
      </c>
      <c r="W9" s="238" t="s">
        <v>24</v>
      </c>
      <c r="X9" s="237">
        <f t="shared" ref="X9" si="11">N9</f>
        <v>33.333333333333329</v>
      </c>
      <c r="Y9" s="238" t="s">
        <v>13</v>
      </c>
      <c r="Z9" s="237">
        <f t="shared" ref="Z9" si="12">O9</f>
        <v>11.666666682666666</v>
      </c>
      <c r="AA9" s="238" t="s">
        <v>4</v>
      </c>
      <c r="AB9" s="238">
        <f t="shared" ref="AB9" si="13">P9</f>
        <v>265.00000023999996</v>
      </c>
      <c r="AC9" s="239" t="s">
        <v>49</v>
      </c>
      <c r="AD9" s="26" t="s">
        <v>11</v>
      </c>
      <c r="AE9" s="27" t="s">
        <v>12</v>
      </c>
      <c r="AF9" s="28" t="s">
        <v>13</v>
      </c>
      <c r="AG9" s="29" t="s">
        <v>4</v>
      </c>
      <c r="AK9" s="45" t="s">
        <v>15</v>
      </c>
      <c r="AL9" s="39" t="s">
        <v>43</v>
      </c>
      <c r="AM9" s="40"/>
      <c r="AN9" s="40"/>
      <c r="AO9" s="40"/>
      <c r="AP9" s="40"/>
      <c r="AQ9" s="40"/>
      <c r="AR9" s="56"/>
      <c r="AS9" s="57"/>
      <c r="AT9" s="42"/>
      <c r="AU9" s="58"/>
      <c r="AV9" s="48"/>
      <c r="BB9" s="227" t="s">
        <v>52</v>
      </c>
      <c r="BC9" s="228"/>
      <c r="BD9" s="228"/>
      <c r="BE9" s="228"/>
      <c r="BF9" s="228"/>
      <c r="BG9" s="228"/>
      <c r="BH9" s="228"/>
      <c r="BI9" s="228"/>
      <c r="BJ9" s="228"/>
      <c r="BK9" s="228"/>
      <c r="BL9" s="228"/>
      <c r="BM9" s="240"/>
    </row>
    <row r="10" spans="1:65">
      <c r="A10" s="3" t="s">
        <v>53</v>
      </c>
      <c r="B10" s="3">
        <v>250</v>
      </c>
      <c r="C10" s="3" t="s">
        <v>22</v>
      </c>
      <c r="D10" s="4">
        <f t="shared" ref="D10" si="14">B10/250</f>
        <v>1</v>
      </c>
      <c r="E10" s="5">
        <f>P11</f>
        <v>290.25038861698522</v>
      </c>
      <c r="F10" s="18">
        <f>B10/4.16</f>
        <v>60.096153846153847</v>
      </c>
      <c r="G10" s="19">
        <f>B10/6.25</f>
        <v>40</v>
      </c>
      <c r="H10" s="19">
        <f>B10/6.25</f>
        <v>40</v>
      </c>
      <c r="I10" s="19">
        <f>B10/6.25</f>
        <v>40</v>
      </c>
      <c r="J10" s="19">
        <f>B10/8.33</f>
        <v>30.012004801920767</v>
      </c>
      <c r="K10" s="19">
        <v>10</v>
      </c>
      <c r="L10" s="20"/>
      <c r="M10" s="9" t="s">
        <v>11</v>
      </c>
      <c r="N10" s="9" t="s">
        <v>12</v>
      </c>
      <c r="O10" s="9" t="s">
        <v>13</v>
      </c>
      <c r="P10" s="9" t="s">
        <v>4</v>
      </c>
      <c r="R10" s="236"/>
      <c r="S10" s="232"/>
      <c r="T10" s="230"/>
      <c r="U10" s="232"/>
      <c r="V10" s="230"/>
      <c r="W10" s="232"/>
      <c r="X10" s="230"/>
      <c r="Y10" s="232"/>
      <c r="Z10" s="230"/>
      <c r="AA10" s="232"/>
      <c r="AB10" s="232"/>
      <c r="AC10" s="234"/>
      <c r="AD10" s="26">
        <f>VLOOKUP(AC11,R11:AB12,5,0)</f>
        <v>19.022836057499923</v>
      </c>
      <c r="AE10" s="27">
        <f>VLOOKUP(AC11,R11:AB12,7,0)</f>
        <v>38.335334133653454</v>
      </c>
      <c r="AF10" s="28">
        <f>VLOOKUP(AC11,R11:AB12,9,0)</f>
        <v>11.682692307692307</v>
      </c>
      <c r="AG10" s="29">
        <f>VLOOKUP(AC11,R11:AB12,11,0)</f>
        <v>290.25038861698522</v>
      </c>
      <c r="AK10" s="45" t="s">
        <v>15</v>
      </c>
      <c r="AL10" s="39" t="s">
        <v>43</v>
      </c>
      <c r="AM10" s="40"/>
      <c r="AN10" s="40"/>
      <c r="AO10" s="40"/>
      <c r="AP10" s="40"/>
      <c r="AQ10" s="40"/>
      <c r="AR10" s="59"/>
      <c r="AS10" s="60"/>
      <c r="AT10" s="58"/>
      <c r="AU10" s="61"/>
      <c r="AV10" s="62"/>
      <c r="BB10" s="227"/>
      <c r="BC10" s="228"/>
      <c r="BD10" s="228"/>
      <c r="BE10" s="228"/>
      <c r="BF10" s="228"/>
      <c r="BG10" s="228"/>
      <c r="BH10" s="228"/>
      <c r="BI10" s="228"/>
      <c r="BJ10" s="228"/>
      <c r="BK10" s="228"/>
      <c r="BL10" s="228"/>
      <c r="BM10" s="240"/>
    </row>
    <row r="11" spans="1:65" ht="21.75" thickBot="1">
      <c r="A11" s="3" t="s">
        <v>0</v>
      </c>
      <c r="B11" s="3" t="s">
        <v>1</v>
      </c>
      <c r="C11" s="3" t="s">
        <v>2</v>
      </c>
      <c r="D11" s="4" t="s">
        <v>3</v>
      </c>
      <c r="E11" s="5" t="s">
        <v>4</v>
      </c>
      <c r="F11" s="18" t="s">
        <v>54</v>
      </c>
      <c r="G11" s="19" t="s">
        <v>55</v>
      </c>
      <c r="H11" s="19" t="s">
        <v>51</v>
      </c>
      <c r="I11" s="19" t="s">
        <v>9</v>
      </c>
      <c r="J11" s="19"/>
      <c r="K11" s="19"/>
      <c r="L11" s="20"/>
      <c r="M11" s="21">
        <f>F10/30*7+G10/30*1+H10/30*1+I10/30*1+J10/30*1</f>
        <v>19.022836057499923</v>
      </c>
      <c r="N11" s="21">
        <f>G10/30*15+H10/30*5+I10/30*5+J10/30*5</f>
        <v>38.335334133653454</v>
      </c>
      <c r="O11" s="21">
        <f>F10/30*5+K10/30*5</f>
        <v>11.682692307692307</v>
      </c>
      <c r="P11" s="21">
        <f>F10/30*75+G10/30*25+H10/30*25+I10/30*25+J10/30*25+K10/30*45</f>
        <v>290.25038861698522</v>
      </c>
      <c r="R11" s="241" t="s">
        <v>53</v>
      </c>
      <c r="S11" s="238" t="s">
        <v>1</v>
      </c>
      <c r="T11" s="237">
        <f>B10</f>
        <v>250</v>
      </c>
      <c r="U11" s="238" t="s">
        <v>23</v>
      </c>
      <c r="V11" s="237">
        <f t="shared" ref="V11" si="15">M11</f>
        <v>19.022836057499923</v>
      </c>
      <c r="W11" s="238" t="s">
        <v>24</v>
      </c>
      <c r="X11" s="237">
        <f t="shared" ref="X11" si="16">N11</f>
        <v>38.335334133653454</v>
      </c>
      <c r="Y11" s="238" t="s">
        <v>13</v>
      </c>
      <c r="Z11" s="237">
        <f t="shared" ref="Z11" si="17">O11</f>
        <v>11.682692307692307</v>
      </c>
      <c r="AA11" s="238" t="s">
        <v>4</v>
      </c>
      <c r="AB11" s="238">
        <f t="shared" ref="AB11" si="18">P11</f>
        <v>290.25038861698522</v>
      </c>
      <c r="AC11" s="239" t="str">
        <f>R11</f>
        <v>تاس کباب لوبیا سبز</v>
      </c>
      <c r="AD11" s="26" t="s">
        <v>11</v>
      </c>
      <c r="AE11" s="27" t="s">
        <v>12</v>
      </c>
      <c r="AF11" s="28" t="s">
        <v>13</v>
      </c>
      <c r="AG11" s="29" t="s">
        <v>4</v>
      </c>
      <c r="AJ11" s="63"/>
      <c r="AK11" s="64" t="s">
        <v>56</v>
      </c>
      <c r="AL11" s="65"/>
      <c r="AM11" s="66"/>
      <c r="AN11" s="66"/>
      <c r="AO11" s="66"/>
      <c r="AP11" s="66"/>
      <c r="AQ11" s="66"/>
      <c r="AR11" s="50"/>
      <c r="AS11" s="67"/>
      <c r="AT11" s="42"/>
      <c r="AU11" s="42"/>
      <c r="AV11" s="68"/>
      <c r="AW11" s="37"/>
      <c r="BB11" s="227"/>
      <c r="BC11" s="228"/>
      <c r="BD11" s="228"/>
      <c r="BE11" s="228"/>
      <c r="BF11" s="228"/>
      <c r="BG11" s="228"/>
      <c r="BH11" s="228"/>
      <c r="BI11" s="228"/>
      <c r="BJ11" s="228"/>
      <c r="BK11" s="228"/>
      <c r="BL11" s="228"/>
      <c r="BM11" s="240"/>
    </row>
    <row r="12" spans="1:65" ht="21.75" thickTop="1">
      <c r="A12" s="3" t="s">
        <v>57</v>
      </c>
      <c r="B12" s="3">
        <v>250</v>
      </c>
      <c r="C12" s="3" t="s">
        <v>22</v>
      </c>
      <c r="D12" s="4">
        <f t="shared" ref="D12" si="19">B12/250</f>
        <v>1</v>
      </c>
      <c r="E12" s="5">
        <f>B12/0.89</f>
        <v>280.89887640449439</v>
      </c>
      <c r="F12" s="18">
        <f>B12/2.77</f>
        <v>90.25270758122744</v>
      </c>
      <c r="G12" s="19">
        <f>B12/2.08</f>
        <v>120.19230769230769</v>
      </c>
      <c r="H12" s="19">
        <f>B12/8.33</f>
        <v>30.012004801920767</v>
      </c>
      <c r="I12" s="19">
        <f>B12/4.16</f>
        <v>60.096153846153847</v>
      </c>
      <c r="J12" s="19"/>
      <c r="K12" s="19"/>
      <c r="L12" s="20"/>
      <c r="M12" s="9" t="s">
        <v>11</v>
      </c>
      <c r="N12" s="9" t="s">
        <v>12</v>
      </c>
      <c r="O12" s="9" t="s">
        <v>13</v>
      </c>
      <c r="P12" s="9" t="s">
        <v>4</v>
      </c>
      <c r="R12" s="236"/>
      <c r="S12" s="232"/>
      <c r="T12" s="230"/>
      <c r="U12" s="232"/>
      <c r="V12" s="230"/>
      <c r="W12" s="232"/>
      <c r="X12" s="230"/>
      <c r="Y12" s="232"/>
      <c r="Z12" s="230"/>
      <c r="AA12" s="232"/>
      <c r="AB12" s="232"/>
      <c r="AC12" s="234"/>
      <c r="AD12" s="26">
        <f>VLOOKUP(AC13,R13:AB14,5,0)</f>
        <v>30.0770040729427</v>
      </c>
      <c r="AE12" s="27">
        <f>VLOOKUP(AC13,R13:AB14,7,0)</f>
        <v>22.035256410256409</v>
      </c>
      <c r="AF12" s="28">
        <f>VLOOKUP(AC13,R13:AB14,9,0)</f>
        <v>30.048120331164956</v>
      </c>
      <c r="AG12" s="29">
        <f>VLOOKUP(AC13,R13:AB14,11,0)</f>
        <v>360.72168905051615</v>
      </c>
      <c r="AI12" s="69"/>
      <c r="AJ12" s="70"/>
      <c r="AK12" s="71" t="s">
        <v>58</v>
      </c>
      <c r="AL12" s="72"/>
      <c r="AM12" s="73"/>
      <c r="AN12" s="73"/>
      <c r="AO12" s="73"/>
      <c r="AP12" s="73"/>
      <c r="AQ12" s="73"/>
      <c r="AR12" s="74"/>
      <c r="AS12" s="75"/>
      <c r="AT12" s="76"/>
      <c r="AU12" s="76"/>
      <c r="AV12" s="77"/>
      <c r="BB12" s="227" t="s">
        <v>59</v>
      </c>
      <c r="BC12" s="228"/>
      <c r="BD12" s="228"/>
      <c r="BE12" s="228"/>
      <c r="BF12" s="228"/>
      <c r="BG12" s="228"/>
      <c r="BH12" s="228"/>
      <c r="BI12" s="228"/>
      <c r="BJ12" s="228"/>
      <c r="BK12" s="228"/>
      <c r="BL12" s="228"/>
      <c r="BM12" s="240"/>
    </row>
    <row r="13" spans="1:65" ht="21.75" thickBot="1">
      <c r="A13" s="3" t="s">
        <v>0</v>
      </c>
      <c r="B13" s="3" t="s">
        <v>1</v>
      </c>
      <c r="C13" s="3" t="s">
        <v>2</v>
      </c>
      <c r="D13" s="4" t="s">
        <v>3</v>
      </c>
      <c r="E13" s="5" t="s">
        <v>4</v>
      </c>
      <c r="F13" s="18" t="s">
        <v>54</v>
      </c>
      <c r="G13" s="19" t="s">
        <v>60</v>
      </c>
      <c r="H13" s="19" t="s">
        <v>51</v>
      </c>
      <c r="I13" s="19" t="s">
        <v>9</v>
      </c>
      <c r="J13" s="19" t="s">
        <v>47</v>
      </c>
      <c r="K13" s="19"/>
      <c r="L13" s="20"/>
      <c r="M13" s="21">
        <f>F12/30*8+G12/30*1+I12/30*1</f>
        <v>30.0770040729427</v>
      </c>
      <c r="N13" s="21">
        <f>G12/30*5+I12/30*1</f>
        <v>22.035256410256409</v>
      </c>
      <c r="O13" s="21">
        <f>F12/30*5+H12/10*5</f>
        <v>30.048120331164956</v>
      </c>
      <c r="P13" s="21">
        <f>F12/30*55+G12/30*25+H12/30*45+I12/30*25</f>
        <v>360.72168905051615</v>
      </c>
      <c r="R13" s="241" t="s">
        <v>57</v>
      </c>
      <c r="S13" s="238" t="s">
        <v>1</v>
      </c>
      <c r="T13" s="237">
        <f>B12</f>
        <v>250</v>
      </c>
      <c r="U13" s="238" t="s">
        <v>23</v>
      </c>
      <c r="V13" s="237">
        <f t="shared" ref="V13" si="20">M13</f>
        <v>30.0770040729427</v>
      </c>
      <c r="W13" s="238" t="s">
        <v>24</v>
      </c>
      <c r="X13" s="237">
        <f t="shared" ref="X13" si="21">N13</f>
        <v>22.035256410256409</v>
      </c>
      <c r="Y13" s="238" t="s">
        <v>13</v>
      </c>
      <c r="Z13" s="237">
        <f t="shared" ref="Z13" si="22">O13</f>
        <v>30.048120331164956</v>
      </c>
      <c r="AA13" s="238" t="s">
        <v>4</v>
      </c>
      <c r="AB13" s="238">
        <f t="shared" ref="AB13" si="23">P13</f>
        <v>360.72168905051615</v>
      </c>
      <c r="AC13" s="239" t="str">
        <f>R13</f>
        <v>تاس کباب کوفته بادمجان</v>
      </c>
      <c r="AD13" s="26" t="s">
        <v>11</v>
      </c>
      <c r="AE13" s="27" t="s">
        <v>12</v>
      </c>
      <c r="AF13" s="28" t="s">
        <v>13</v>
      </c>
      <c r="AG13" s="29" t="s">
        <v>4</v>
      </c>
      <c r="AJ13" s="70"/>
      <c r="AK13" s="78" t="s">
        <v>61</v>
      </c>
      <c r="AL13" s="79"/>
      <c r="AM13" s="80"/>
      <c r="AN13" s="80"/>
      <c r="AO13" s="80"/>
      <c r="AP13" s="80"/>
      <c r="AQ13" s="80"/>
      <c r="AR13" s="81"/>
      <c r="AS13" s="82"/>
      <c r="AT13" s="82"/>
      <c r="AU13" s="83"/>
      <c r="AV13" s="84"/>
      <c r="BB13" s="227"/>
      <c r="BC13" s="228"/>
      <c r="BD13" s="228"/>
      <c r="BE13" s="228"/>
      <c r="BF13" s="228"/>
      <c r="BG13" s="228"/>
      <c r="BH13" s="228"/>
      <c r="BI13" s="228"/>
      <c r="BJ13" s="228"/>
      <c r="BK13" s="228"/>
      <c r="BL13" s="228"/>
      <c r="BM13" s="240"/>
    </row>
    <row r="14" spans="1:65" ht="21.75" thickTop="1">
      <c r="A14" s="3" t="s">
        <v>62</v>
      </c>
      <c r="B14" s="3">
        <v>250</v>
      </c>
      <c r="C14" s="3" t="s">
        <v>22</v>
      </c>
      <c r="D14" s="4">
        <f t="shared" ref="D14" si="24">B14/250</f>
        <v>1</v>
      </c>
      <c r="E14" s="5">
        <f>B14/0.87</f>
        <v>287.35632183908046</v>
      </c>
      <c r="F14" s="18">
        <f>B14/2.77</f>
        <v>90.25270758122744</v>
      </c>
      <c r="G14" s="19">
        <f>B14/25</f>
        <v>10</v>
      </c>
      <c r="H14" s="19">
        <f>B14/8.33</f>
        <v>30.012004801920767</v>
      </c>
      <c r="I14" s="19">
        <f>B14/6.25</f>
        <v>40</v>
      </c>
      <c r="J14" s="19">
        <f>B14/6.25</f>
        <v>40</v>
      </c>
      <c r="K14" s="19"/>
      <c r="L14" s="20"/>
      <c r="M14" s="9" t="s">
        <v>11</v>
      </c>
      <c r="N14" s="9" t="s">
        <v>12</v>
      </c>
      <c r="O14" s="9" t="s">
        <v>13</v>
      </c>
      <c r="P14" s="9" t="s">
        <v>4</v>
      </c>
      <c r="R14" s="236"/>
      <c r="S14" s="232"/>
      <c r="T14" s="230"/>
      <c r="U14" s="232"/>
      <c r="V14" s="230"/>
      <c r="W14" s="232"/>
      <c r="X14" s="230"/>
      <c r="Y14" s="232"/>
      <c r="Z14" s="230"/>
      <c r="AA14" s="232"/>
      <c r="AB14" s="232"/>
      <c r="AC14" s="234"/>
      <c r="AD14" s="26">
        <f>VLOOKUP(AC15,R15:AB16,5,0)</f>
        <v>24.058965102286397</v>
      </c>
      <c r="AE14" s="27">
        <f>VLOOKUP(AC15,R15:AB16,7,0)</f>
        <v>18.333333333333332</v>
      </c>
      <c r="AF14" s="28">
        <f>VLOOKUP(AC15,R15:AB16,9,0)</f>
        <v>15.006002400960384</v>
      </c>
      <c r="AG14" s="29">
        <f>VLOOKUP(AC15,R15:AB16,11,0)</f>
        <v>439.35245722837863</v>
      </c>
      <c r="AK14" s="49" t="s">
        <v>17</v>
      </c>
      <c r="AL14" s="85"/>
      <c r="AM14" s="86"/>
      <c r="AN14" s="86"/>
      <c r="AO14" s="86"/>
      <c r="AP14" s="86"/>
      <c r="AQ14" s="86"/>
      <c r="AR14" s="87"/>
      <c r="AS14" s="60"/>
      <c r="AT14" s="60"/>
      <c r="AU14" s="60"/>
      <c r="AV14" s="62"/>
      <c r="BB14" s="227"/>
      <c r="BC14" s="228"/>
      <c r="BD14" s="228"/>
      <c r="BE14" s="228"/>
      <c r="BF14" s="228"/>
      <c r="BG14" s="228"/>
      <c r="BH14" s="228"/>
      <c r="BI14" s="228"/>
      <c r="BJ14" s="228"/>
      <c r="BK14" s="228"/>
      <c r="BL14" s="228"/>
      <c r="BM14" s="240"/>
    </row>
    <row r="15" spans="1:65">
      <c r="A15" s="3" t="s">
        <v>0</v>
      </c>
      <c r="B15" s="3" t="s">
        <v>1</v>
      </c>
      <c r="C15" s="3" t="s">
        <v>2</v>
      </c>
      <c r="D15" s="4" t="s">
        <v>3</v>
      </c>
      <c r="E15" s="5" t="s">
        <v>4</v>
      </c>
      <c r="F15" s="18" t="s">
        <v>63</v>
      </c>
      <c r="G15" s="19" t="s">
        <v>64</v>
      </c>
      <c r="H15" s="19" t="s">
        <v>65</v>
      </c>
      <c r="I15" s="19" t="s">
        <v>54</v>
      </c>
      <c r="J15" s="19" t="s">
        <v>10</v>
      </c>
      <c r="K15" s="19" t="s">
        <v>32</v>
      </c>
      <c r="L15" s="20"/>
      <c r="M15" s="21">
        <f>F14/30*7+G14/30*1+I14/30*1+J14/30*1</f>
        <v>24.058965102286397</v>
      </c>
      <c r="N15" s="21">
        <f>G14/30*15+I14/30*5+J14/30*5</f>
        <v>18.333333333333332</v>
      </c>
      <c r="O15" s="21">
        <f>H14/10*5</f>
        <v>15.006002400960384</v>
      </c>
      <c r="P15" s="21">
        <f>F14/30*75+G14/30*36+H14/10*45+I14/30*25+J14/30*25</f>
        <v>439.35245722837863</v>
      </c>
      <c r="R15" s="241" t="s">
        <v>62</v>
      </c>
      <c r="S15" s="238" t="s">
        <v>1</v>
      </c>
      <c r="T15" s="237">
        <f>B14</f>
        <v>250</v>
      </c>
      <c r="U15" s="238" t="s">
        <v>23</v>
      </c>
      <c r="V15" s="237">
        <f t="shared" ref="V15" si="25">M15</f>
        <v>24.058965102286397</v>
      </c>
      <c r="W15" s="238" t="s">
        <v>24</v>
      </c>
      <c r="X15" s="237">
        <f t="shared" ref="X15" si="26">N15</f>
        <v>18.333333333333332</v>
      </c>
      <c r="Y15" s="238" t="s">
        <v>13</v>
      </c>
      <c r="Z15" s="237">
        <f t="shared" ref="Z15" si="27">O15</f>
        <v>15.006002400960384</v>
      </c>
      <c r="AA15" s="238" t="s">
        <v>4</v>
      </c>
      <c r="AB15" s="238">
        <f t="shared" ref="AB15" si="28">P15</f>
        <v>439.35245722837863</v>
      </c>
      <c r="AC15" s="239" t="str">
        <f>R15</f>
        <v>تاس کباب کوفته ریزه</v>
      </c>
      <c r="AD15" s="26" t="s">
        <v>11</v>
      </c>
      <c r="AE15" s="27" t="s">
        <v>12</v>
      </c>
      <c r="AF15" s="28" t="s">
        <v>13</v>
      </c>
      <c r="AG15" s="29" t="s">
        <v>4</v>
      </c>
      <c r="AK15" s="45" t="s">
        <v>17</v>
      </c>
      <c r="AL15" s="39"/>
      <c r="AM15" s="40"/>
      <c r="AN15" s="40"/>
      <c r="AO15" s="40"/>
      <c r="AP15" s="40"/>
      <c r="AQ15" s="40"/>
      <c r="AR15" s="51"/>
      <c r="AS15" s="57"/>
      <c r="AT15" s="57"/>
      <c r="AU15" s="57"/>
      <c r="AV15" s="48"/>
      <c r="BB15" s="227" t="s">
        <v>66</v>
      </c>
      <c r="BC15" s="228"/>
      <c r="BD15" s="228"/>
      <c r="BE15" s="228"/>
      <c r="BF15" s="228"/>
      <c r="BG15" s="228"/>
      <c r="BH15" s="228"/>
      <c r="BI15" s="228"/>
      <c r="BJ15" s="228"/>
      <c r="BK15" s="228"/>
      <c r="BL15" s="228"/>
      <c r="BM15" s="240"/>
    </row>
    <row r="16" spans="1:65">
      <c r="A16" s="3" t="s">
        <v>67</v>
      </c>
      <c r="B16" s="3">
        <v>250</v>
      </c>
      <c r="C16" s="3" t="s">
        <v>22</v>
      </c>
      <c r="D16" s="4">
        <f t="shared" ref="D16" si="29">B16/250</f>
        <v>1</v>
      </c>
      <c r="E16" s="5">
        <f>B16/0.912</f>
        <v>274.12280701754383</v>
      </c>
      <c r="F16" s="18">
        <f>B16/8.33</f>
        <v>30.012004801920767</v>
      </c>
      <c r="G16" s="19">
        <f>B16/8.33</f>
        <v>30.012004801920767</v>
      </c>
      <c r="H16" s="19">
        <f>B16/8.33</f>
        <v>30.012004801920767</v>
      </c>
      <c r="I16" s="19">
        <f>B16/4.16</f>
        <v>60.096153846153847</v>
      </c>
      <c r="J16" s="19">
        <f>B16/8.33</f>
        <v>30.012004801920767</v>
      </c>
      <c r="K16" s="19"/>
      <c r="L16" s="20"/>
      <c r="M16" s="9" t="s">
        <v>11</v>
      </c>
      <c r="N16" s="9" t="s">
        <v>12</v>
      </c>
      <c r="O16" s="9" t="s">
        <v>13</v>
      </c>
      <c r="P16" s="9" t="s">
        <v>4</v>
      </c>
      <c r="R16" s="236"/>
      <c r="S16" s="232"/>
      <c r="T16" s="230"/>
      <c r="U16" s="232"/>
      <c r="V16" s="230"/>
      <c r="W16" s="232"/>
      <c r="X16" s="230"/>
      <c r="Y16" s="232"/>
      <c r="Z16" s="230"/>
      <c r="AA16" s="232"/>
      <c r="AB16" s="232"/>
      <c r="AC16" s="234"/>
      <c r="AD16" s="26">
        <f>VLOOKUP(AC17,R17:AB18,5,0)</f>
        <v>25.026837658140181</v>
      </c>
      <c r="AE16" s="27">
        <f>VLOOKUP(AC17,R17:AB18,7,0)</f>
        <v>41.016406562625043</v>
      </c>
      <c r="AF16" s="28">
        <f>VLOOKUP(AC17,R17:AB18,9,0)</f>
        <v>11.016425801089666</v>
      </c>
      <c r="AG16" s="29">
        <f>VLOOKUP(AC17,R17:AB18,11,0)</f>
        <v>375.3304206297903</v>
      </c>
      <c r="AK16" s="38" t="s">
        <v>17</v>
      </c>
      <c r="AL16" s="39"/>
      <c r="AM16" s="40"/>
      <c r="AN16" s="40"/>
      <c r="AO16" s="40"/>
      <c r="AP16" s="40"/>
      <c r="AQ16" s="40"/>
      <c r="AR16" s="51"/>
      <c r="AS16" s="57"/>
      <c r="AT16" s="57"/>
      <c r="AU16" s="57"/>
      <c r="AV16" s="48"/>
      <c r="BB16" s="227"/>
      <c r="BC16" s="228"/>
      <c r="BD16" s="228"/>
      <c r="BE16" s="228"/>
      <c r="BF16" s="228"/>
      <c r="BG16" s="228"/>
      <c r="BH16" s="228"/>
      <c r="BI16" s="228"/>
      <c r="BJ16" s="228"/>
      <c r="BK16" s="228"/>
      <c r="BL16" s="228"/>
      <c r="BM16" s="240"/>
    </row>
    <row r="17" spans="1:65">
      <c r="A17" s="3" t="s">
        <v>0</v>
      </c>
      <c r="B17" s="3" t="s">
        <v>1</v>
      </c>
      <c r="C17" s="3" t="s">
        <v>2</v>
      </c>
      <c r="D17" s="4" t="s">
        <v>3</v>
      </c>
      <c r="E17" s="5" t="s">
        <v>4</v>
      </c>
      <c r="F17" s="18" t="s">
        <v>63</v>
      </c>
      <c r="G17" s="19" t="s">
        <v>27</v>
      </c>
      <c r="H17" s="19" t="s">
        <v>54</v>
      </c>
      <c r="I17" s="19" t="s">
        <v>68</v>
      </c>
      <c r="J17" s="19" t="s">
        <v>69</v>
      </c>
      <c r="K17" s="19"/>
      <c r="L17" s="20"/>
      <c r="M17" s="21">
        <f>F16/30*2+G16/30*2+H16/30*7+I16/30*7</f>
        <v>25.026837658140181</v>
      </c>
      <c r="N17" s="21">
        <f>F16/30*15+G16/30*6+H16/30*15+J16/30*5</f>
        <v>41.016406562625043</v>
      </c>
      <c r="O17" s="21">
        <f>I16/30*5+F16/30*1</f>
        <v>11.016425801089666</v>
      </c>
      <c r="P17" s="21">
        <f>J16/30*25+I16/30*75+H16/30*60+G16/30*60+F16/30*80</f>
        <v>375.3304206297903</v>
      </c>
      <c r="R17" s="241" t="s">
        <v>67</v>
      </c>
      <c r="S17" s="238" t="s">
        <v>1</v>
      </c>
      <c r="T17" s="237">
        <f>B16</f>
        <v>250</v>
      </c>
      <c r="U17" s="238" t="s">
        <v>23</v>
      </c>
      <c r="V17" s="237">
        <f t="shared" ref="V17" si="30">M17</f>
        <v>25.026837658140181</v>
      </c>
      <c r="W17" s="238" t="s">
        <v>24</v>
      </c>
      <c r="X17" s="237">
        <f t="shared" ref="X17" si="31">N17</f>
        <v>41.016406562625043</v>
      </c>
      <c r="Y17" s="238" t="s">
        <v>13</v>
      </c>
      <c r="Z17" s="237">
        <f t="shared" ref="Z17" si="32">O17</f>
        <v>11.016425801089666</v>
      </c>
      <c r="AA17" s="238" t="s">
        <v>4</v>
      </c>
      <c r="AB17" s="238">
        <f t="shared" ref="AB17" si="33">P17</f>
        <v>375.3304206297903</v>
      </c>
      <c r="AC17" s="239" t="str">
        <f>R17</f>
        <v>آش آبغوره</v>
      </c>
      <c r="AD17" s="26" t="s">
        <v>11</v>
      </c>
      <c r="AE17" s="27" t="s">
        <v>12</v>
      </c>
      <c r="AF17" s="28" t="s">
        <v>13</v>
      </c>
      <c r="AG17" s="29" t="s">
        <v>4</v>
      </c>
      <c r="AK17" s="45" t="s">
        <v>17</v>
      </c>
      <c r="AL17" s="39"/>
      <c r="AM17" s="40"/>
      <c r="AN17" s="40"/>
      <c r="AO17" s="40"/>
      <c r="AP17" s="40"/>
      <c r="AQ17" s="40"/>
      <c r="AR17" s="51"/>
      <c r="AS17" s="57"/>
      <c r="AT17" s="57"/>
      <c r="AU17" s="57"/>
      <c r="AV17" s="48"/>
      <c r="BB17" s="227"/>
      <c r="BC17" s="228"/>
      <c r="BD17" s="228"/>
      <c r="BE17" s="228"/>
      <c r="BF17" s="228"/>
      <c r="BG17" s="228"/>
      <c r="BH17" s="228"/>
      <c r="BI17" s="228"/>
      <c r="BJ17" s="228"/>
      <c r="BK17" s="228"/>
      <c r="BL17" s="228"/>
      <c r="BM17" s="240"/>
    </row>
    <row r="18" spans="1:65">
      <c r="A18" s="3" t="s">
        <v>70</v>
      </c>
      <c r="B18" s="3">
        <v>250</v>
      </c>
      <c r="C18" s="3" t="s">
        <v>22</v>
      </c>
      <c r="D18" s="4">
        <f t="shared" ref="D18" si="34">B18/250</f>
        <v>1</v>
      </c>
      <c r="E18" s="5">
        <f>B18/1.05</f>
        <v>238.09523809523807</v>
      </c>
      <c r="F18" s="18">
        <f>B18/8.33</f>
        <v>30.012004801920767</v>
      </c>
      <c r="G18" s="19">
        <f>B18/25</f>
        <v>10</v>
      </c>
      <c r="H18" s="19">
        <f>B18/4.16</f>
        <v>60.096153846153847</v>
      </c>
      <c r="I18" s="19">
        <f>B18/5</f>
        <v>50</v>
      </c>
      <c r="J18" s="19">
        <f>B18/8.33</f>
        <v>30.012004801920767</v>
      </c>
      <c r="K18" s="19"/>
      <c r="L18" s="20"/>
      <c r="M18" s="9" t="s">
        <v>11</v>
      </c>
      <c r="N18" s="9" t="s">
        <v>12</v>
      </c>
      <c r="O18" s="9" t="s">
        <v>13</v>
      </c>
      <c r="P18" s="9" t="s">
        <v>4</v>
      </c>
      <c r="R18" s="236"/>
      <c r="S18" s="232"/>
      <c r="T18" s="230"/>
      <c r="U18" s="232"/>
      <c r="V18" s="230"/>
      <c r="W18" s="232"/>
      <c r="X18" s="230"/>
      <c r="Y18" s="232"/>
      <c r="Z18" s="230"/>
      <c r="AA18" s="232"/>
      <c r="AB18" s="232"/>
      <c r="AC18" s="234"/>
      <c r="AD18" s="26">
        <f>VLOOKUP(AC19,R19:AB20,5,0)</f>
        <v>21.026041185705051</v>
      </c>
      <c r="AE18" s="27">
        <f>VLOOKUP(AC19,R19:AB20,7,0)</f>
        <v>33.341336534613845</v>
      </c>
      <c r="AF18" s="28">
        <f>VLOOKUP(AC19,R19:AB20,9,0)</f>
        <v>10.016025641025641</v>
      </c>
      <c r="AG18" s="29">
        <f>VLOOKUP(AC19,R19:AB20,11,0)</f>
        <v>296.94106488749344</v>
      </c>
      <c r="AK18" s="88" t="s">
        <v>17</v>
      </c>
      <c r="AL18" s="39"/>
      <c r="AM18" s="40"/>
      <c r="AN18" s="40"/>
      <c r="AO18" s="40"/>
      <c r="AP18" s="40"/>
      <c r="AQ18" s="40"/>
      <c r="AR18" s="51"/>
      <c r="AS18" s="57"/>
      <c r="AT18" s="57"/>
      <c r="AU18" s="57"/>
      <c r="AV18" s="48"/>
      <c r="BB18" s="227" t="s">
        <v>71</v>
      </c>
      <c r="BC18" s="228"/>
      <c r="BD18" s="228"/>
      <c r="BE18" s="228"/>
      <c r="BF18" s="228"/>
      <c r="BG18" s="228"/>
      <c r="BH18" s="228"/>
      <c r="BI18" s="228"/>
      <c r="BJ18" s="228"/>
      <c r="BK18" s="228"/>
      <c r="BL18" s="228"/>
      <c r="BM18" s="240"/>
    </row>
    <row r="19" spans="1:65" ht="21.75" thickBot="1">
      <c r="A19" s="3" t="s">
        <v>0</v>
      </c>
      <c r="B19" s="3" t="s">
        <v>1</v>
      </c>
      <c r="C19" s="3" t="s">
        <v>2</v>
      </c>
      <c r="D19" s="4" t="s">
        <v>3</v>
      </c>
      <c r="E19" s="5" t="s">
        <v>4</v>
      </c>
      <c r="F19" s="18" t="s">
        <v>72</v>
      </c>
      <c r="G19" s="19" t="s">
        <v>73</v>
      </c>
      <c r="H19" s="19" t="s">
        <v>8</v>
      </c>
      <c r="I19" s="19" t="s">
        <v>65</v>
      </c>
      <c r="J19" s="19" t="s">
        <v>63</v>
      </c>
      <c r="K19" s="19" t="s">
        <v>74</v>
      </c>
      <c r="L19" s="20" t="s">
        <v>75</v>
      </c>
      <c r="M19" s="21">
        <f>F18/30*1+G18/30*7+H18/30*8+I18/30*1</f>
        <v>21.026041185705051</v>
      </c>
      <c r="N19" s="21">
        <f>F18/30*15+G18/30*15+I18/30*5+J18/30*5</f>
        <v>33.341336534613845</v>
      </c>
      <c r="O19" s="21">
        <f>H18/30*5</f>
        <v>10.016025641025641</v>
      </c>
      <c r="P19" s="21">
        <f>J18/30*25+I18/30*25+H18/30*75+G18/30*60+F18/30*60</f>
        <v>296.94106488749344</v>
      </c>
      <c r="R19" s="241" t="s">
        <v>70</v>
      </c>
      <c r="S19" s="238" t="s">
        <v>1</v>
      </c>
      <c r="T19" s="237">
        <f>B18</f>
        <v>250</v>
      </c>
      <c r="U19" s="238" t="s">
        <v>23</v>
      </c>
      <c r="V19" s="237">
        <f t="shared" ref="V19" si="35">M19</f>
        <v>21.026041185705051</v>
      </c>
      <c r="W19" s="238" t="s">
        <v>24</v>
      </c>
      <c r="X19" s="237">
        <f t="shared" ref="X19" si="36">N19</f>
        <v>33.341336534613845</v>
      </c>
      <c r="Y19" s="238" t="s">
        <v>13</v>
      </c>
      <c r="Z19" s="237">
        <f t="shared" ref="Z19" si="37">O19</f>
        <v>10.016025641025641</v>
      </c>
      <c r="AA19" s="238" t="s">
        <v>4</v>
      </c>
      <c r="AB19" s="238">
        <f t="shared" ref="AB19" si="38">P19</f>
        <v>296.94106488749344</v>
      </c>
      <c r="AC19" s="239" t="str">
        <f>R19</f>
        <v>آش آلو</v>
      </c>
      <c r="AD19" s="26" t="s">
        <v>11</v>
      </c>
      <c r="AE19" s="27" t="s">
        <v>12</v>
      </c>
      <c r="AF19" s="28" t="s">
        <v>13</v>
      </c>
      <c r="AG19" s="29" t="s">
        <v>4</v>
      </c>
      <c r="AK19" s="89" t="s">
        <v>17</v>
      </c>
      <c r="AL19" s="90"/>
      <c r="AM19" s="40"/>
      <c r="AN19" s="40"/>
      <c r="AO19" s="40"/>
      <c r="AP19" s="40"/>
      <c r="AQ19" s="40"/>
      <c r="AR19" s="91"/>
      <c r="AS19" s="92"/>
      <c r="AT19" s="92"/>
      <c r="AU19" s="92"/>
      <c r="AV19" s="93"/>
      <c r="AX19" s="2" t="s">
        <v>15</v>
      </c>
      <c r="AY19" s="94" t="s">
        <v>22</v>
      </c>
      <c r="AZ19" s="21" t="s">
        <v>76</v>
      </c>
      <c r="BA19" s="21">
        <v>1</v>
      </c>
      <c r="BB19" s="227"/>
      <c r="BC19" s="228"/>
      <c r="BD19" s="228"/>
      <c r="BE19" s="228"/>
      <c r="BF19" s="228"/>
      <c r="BG19" s="228"/>
      <c r="BH19" s="228"/>
      <c r="BI19" s="228"/>
      <c r="BJ19" s="228"/>
      <c r="BK19" s="228"/>
      <c r="BL19" s="228"/>
      <c r="BM19" s="240"/>
    </row>
    <row r="20" spans="1:65">
      <c r="A20" s="3" t="s">
        <v>77</v>
      </c>
      <c r="B20" s="3">
        <v>250</v>
      </c>
      <c r="C20" s="3" t="s">
        <v>22</v>
      </c>
      <c r="D20" s="4">
        <f t="shared" ref="D20" si="39">B20/250</f>
        <v>1</v>
      </c>
      <c r="E20" s="5">
        <f>B20/0.85</f>
        <v>294.11764705882354</v>
      </c>
      <c r="F20" s="18">
        <f>B20/12.5</f>
        <v>20</v>
      </c>
      <c r="G20" s="19">
        <f>B20/25</f>
        <v>10</v>
      </c>
      <c r="H20" s="19">
        <f>B20/25</f>
        <v>10</v>
      </c>
      <c r="I20" s="19">
        <f>B20/25</f>
        <v>10</v>
      </c>
      <c r="J20" s="19">
        <f>B20/8.33</f>
        <v>30.012004801920767</v>
      </c>
      <c r="K20" s="19">
        <f>B20/12.5</f>
        <v>20</v>
      </c>
      <c r="L20" s="20">
        <f>B20/25</f>
        <v>10</v>
      </c>
      <c r="M20" s="9" t="s">
        <v>11</v>
      </c>
      <c r="N20" s="9" t="s">
        <v>12</v>
      </c>
      <c r="O20" s="9" t="s">
        <v>13</v>
      </c>
      <c r="P20" s="9" t="s">
        <v>4</v>
      </c>
      <c r="R20" s="236"/>
      <c r="S20" s="232"/>
      <c r="T20" s="230"/>
      <c r="U20" s="232"/>
      <c r="V20" s="230"/>
      <c r="W20" s="232"/>
      <c r="X20" s="230"/>
      <c r="Y20" s="232"/>
      <c r="Z20" s="230"/>
      <c r="AA20" s="232"/>
      <c r="AB20" s="232"/>
      <c r="AC20" s="234"/>
      <c r="AD20" s="26">
        <f>VLOOKUP(AC21,R21:AB22,5,0)</f>
        <v>15.333733493397359</v>
      </c>
      <c r="AE20" s="27">
        <f>VLOOKUP(AC21,R21:AB22,7,0)</f>
        <v>49.672669067627048</v>
      </c>
      <c r="AF20" s="28">
        <f>VLOOKUP(AC21,R21:AB22,9,0)</f>
        <v>3.333333333333333</v>
      </c>
      <c r="AG20" s="29">
        <f>VLOOKUP(AC21,R21:AB22,11,0)</f>
        <v>268.36534613845532</v>
      </c>
      <c r="AK20" s="32" t="s">
        <v>58</v>
      </c>
      <c r="AL20" s="95"/>
      <c r="AM20" s="40"/>
      <c r="AN20" s="40"/>
      <c r="AO20" s="40"/>
      <c r="AP20" s="40"/>
      <c r="AQ20" s="40"/>
      <c r="AR20" s="96"/>
      <c r="AS20" s="97"/>
      <c r="AT20" s="97"/>
      <c r="AU20" s="97"/>
      <c r="AV20" s="36"/>
      <c r="AX20" s="2" t="s">
        <v>56</v>
      </c>
      <c r="AY20" s="94" t="s">
        <v>78</v>
      </c>
      <c r="AZ20" s="9" t="s">
        <v>79</v>
      </c>
      <c r="BA20" s="21">
        <v>2</v>
      </c>
      <c r="BB20" s="227"/>
      <c r="BC20" s="228"/>
      <c r="BD20" s="228"/>
      <c r="BE20" s="228"/>
      <c r="BF20" s="228"/>
      <c r="BG20" s="228"/>
      <c r="BH20" s="228"/>
      <c r="BI20" s="228"/>
      <c r="BJ20" s="228"/>
      <c r="BK20" s="228"/>
      <c r="BL20" s="228"/>
      <c r="BM20" s="240"/>
    </row>
    <row r="21" spans="1:65">
      <c r="A21" s="3" t="s">
        <v>0</v>
      </c>
      <c r="B21" s="3" t="s">
        <v>1</v>
      </c>
      <c r="C21" s="3" t="s">
        <v>2</v>
      </c>
      <c r="D21" s="4" t="s">
        <v>3</v>
      </c>
      <c r="E21" s="5" t="s">
        <v>4</v>
      </c>
      <c r="F21" s="18" t="s">
        <v>8</v>
      </c>
      <c r="G21" s="19" t="s">
        <v>80</v>
      </c>
      <c r="H21" s="19" t="s">
        <v>73</v>
      </c>
      <c r="I21" s="19" t="s">
        <v>51</v>
      </c>
      <c r="J21" s="19" t="s">
        <v>81</v>
      </c>
      <c r="K21" s="19" t="s">
        <v>82</v>
      </c>
      <c r="L21" s="20" t="s">
        <v>74</v>
      </c>
      <c r="M21" s="21">
        <f>F20/30*1+G20/30*8+H20/30*8+I20/30*8+J20/30*1+K20/30*8+L20/30*1</f>
        <v>15.333733493397359</v>
      </c>
      <c r="N21" s="21">
        <f>F20/30*15+G20/30*15+H20/30*15+I20/30*15+J20/30*15+K20/30*12+L20/30*5</f>
        <v>49.672669067627048</v>
      </c>
      <c r="O21" s="21">
        <f>K20/30*5</f>
        <v>3.333333333333333</v>
      </c>
      <c r="P21" s="21">
        <f>F20/30*60+G20/30*60+H20/30*60+I20/30*60+J20/30*80+K20/30*120+L20/30*25</f>
        <v>268.36534613845532</v>
      </c>
      <c r="R21" s="241" t="s">
        <v>77</v>
      </c>
      <c r="S21" s="238" t="s">
        <v>1</v>
      </c>
      <c r="T21" s="237">
        <f>B20</f>
        <v>250</v>
      </c>
      <c r="U21" s="238" t="s">
        <v>23</v>
      </c>
      <c r="V21" s="237">
        <f t="shared" ref="V21" si="40">M21</f>
        <v>15.333733493397359</v>
      </c>
      <c r="W21" s="238" t="s">
        <v>24</v>
      </c>
      <c r="X21" s="237">
        <f t="shared" ref="X21" si="41">N21</f>
        <v>49.672669067627048</v>
      </c>
      <c r="Y21" s="238" t="s">
        <v>13</v>
      </c>
      <c r="Z21" s="237">
        <f t="shared" ref="Z21:Z53" si="42">O21</f>
        <v>3.333333333333333</v>
      </c>
      <c r="AA21" s="238" t="s">
        <v>4</v>
      </c>
      <c r="AB21" s="238">
        <f t="shared" ref="AB21" si="43">P21</f>
        <v>268.36534613845532</v>
      </c>
      <c r="AC21" s="239" t="str">
        <f>R21</f>
        <v>آش جو</v>
      </c>
      <c r="AD21" s="26" t="s">
        <v>11</v>
      </c>
      <c r="AE21" s="27" t="s">
        <v>12</v>
      </c>
      <c r="AF21" s="28" t="s">
        <v>13</v>
      </c>
      <c r="AG21" s="29" t="s">
        <v>4</v>
      </c>
      <c r="AK21" s="45" t="s">
        <v>58</v>
      </c>
      <c r="AL21" s="40"/>
      <c r="AM21" s="51"/>
      <c r="AN21" s="51"/>
      <c r="AO21" s="51"/>
      <c r="AP21" s="51"/>
      <c r="AQ21" s="51"/>
      <c r="AR21" s="51"/>
      <c r="AS21" s="57"/>
      <c r="AT21" s="57"/>
      <c r="AU21" s="57"/>
      <c r="AV21" s="48"/>
      <c r="AX21" s="2" t="s">
        <v>17</v>
      </c>
      <c r="AY21" s="94" t="s">
        <v>83</v>
      </c>
      <c r="AZ21" s="21" t="s">
        <v>63</v>
      </c>
      <c r="BA21" s="21">
        <v>3</v>
      </c>
      <c r="BB21" s="227" t="s">
        <v>84</v>
      </c>
      <c r="BC21" s="228"/>
      <c r="BD21" s="228"/>
      <c r="BE21" s="228"/>
      <c r="BF21" s="228"/>
      <c r="BG21" s="228"/>
      <c r="BH21" s="228"/>
      <c r="BI21" s="228"/>
      <c r="BJ21" s="228"/>
      <c r="BK21" s="228"/>
      <c r="BL21" s="228"/>
      <c r="BM21" s="240"/>
    </row>
    <row r="22" spans="1:65" ht="21.75" thickBot="1">
      <c r="A22" s="3" t="s">
        <v>85</v>
      </c>
      <c r="B22" s="3">
        <v>250</v>
      </c>
      <c r="C22" s="3" t="s">
        <v>22</v>
      </c>
      <c r="D22" s="4">
        <f t="shared" ref="D22" si="44">B22/250</f>
        <v>1</v>
      </c>
      <c r="E22" s="5">
        <f>B22/0.81</f>
        <v>308.64197530864197</v>
      </c>
      <c r="F22" s="18">
        <f>B22/12.5</f>
        <v>20</v>
      </c>
      <c r="G22" s="19">
        <f>B22/25</f>
        <v>10</v>
      </c>
      <c r="H22" s="19">
        <f>B22/25</f>
        <v>10</v>
      </c>
      <c r="I22" s="19">
        <f>B22/50</f>
        <v>5</v>
      </c>
      <c r="J22" s="19">
        <f>B22/12.5</f>
        <v>20</v>
      </c>
      <c r="K22" s="19">
        <f>B22/12.5</f>
        <v>20</v>
      </c>
      <c r="L22" s="20">
        <f>B22/12.5</f>
        <v>20</v>
      </c>
      <c r="M22" s="9" t="s">
        <v>11</v>
      </c>
      <c r="N22" s="9" t="s">
        <v>12</v>
      </c>
      <c r="O22" s="9" t="s">
        <v>13</v>
      </c>
      <c r="P22" s="9" t="s">
        <v>4</v>
      </c>
      <c r="R22" s="236"/>
      <c r="S22" s="232"/>
      <c r="T22" s="230"/>
      <c r="U22" s="232"/>
      <c r="V22" s="230"/>
      <c r="W22" s="232"/>
      <c r="X22" s="230"/>
      <c r="Y22" s="232"/>
      <c r="Z22" s="230"/>
      <c r="AA22" s="232"/>
      <c r="AB22" s="232"/>
      <c r="AC22" s="234"/>
      <c r="AD22" s="26">
        <f>VLOOKUP(AC23,R23:AB24,5,0)</f>
        <v>15.999999999999996</v>
      </c>
      <c r="AE22" s="27">
        <f>VLOOKUP(AC23,R23:AB24,7,0)</f>
        <v>41.333333333333336</v>
      </c>
      <c r="AF22" s="28">
        <f>VLOOKUP(AC23,R23:AB24,9,0)</f>
        <v>25.833333333333332</v>
      </c>
      <c r="AG22" s="29">
        <f>VLOOKUP(AC23,R23:AB24,11,0)</f>
        <v>250.83333333333331</v>
      </c>
      <c r="AK22" s="98" t="s">
        <v>58</v>
      </c>
      <c r="AL22" s="99"/>
      <c r="AM22" s="91"/>
      <c r="AN22" s="91"/>
      <c r="AO22" s="91"/>
      <c r="AP22" s="91"/>
      <c r="AQ22" s="91"/>
      <c r="AR22" s="91"/>
      <c r="AS22" s="92"/>
      <c r="AT22" s="92"/>
      <c r="AU22" s="92"/>
      <c r="AV22" s="93"/>
      <c r="AX22" s="2" t="s">
        <v>58</v>
      </c>
      <c r="AY22" s="94" t="s">
        <v>86</v>
      </c>
      <c r="AZ22" s="21" t="s">
        <v>87</v>
      </c>
      <c r="BA22" s="21">
        <v>4</v>
      </c>
      <c r="BB22" s="227"/>
      <c r="BC22" s="228"/>
      <c r="BD22" s="228"/>
      <c r="BE22" s="228"/>
      <c r="BF22" s="228"/>
      <c r="BG22" s="228"/>
      <c r="BH22" s="228"/>
      <c r="BI22" s="228"/>
      <c r="BJ22" s="228"/>
      <c r="BK22" s="228"/>
      <c r="BL22" s="228"/>
      <c r="BM22" s="240"/>
    </row>
    <row r="23" spans="1:65">
      <c r="A23" s="3" t="s">
        <v>0</v>
      </c>
      <c r="B23" s="3" t="s">
        <v>1</v>
      </c>
      <c r="C23" s="3" t="s">
        <v>2</v>
      </c>
      <c r="D23" s="4" t="s">
        <v>3</v>
      </c>
      <c r="E23" s="5" t="s">
        <v>4</v>
      </c>
      <c r="F23" s="18" t="s">
        <v>63</v>
      </c>
      <c r="G23" s="19" t="s">
        <v>64</v>
      </c>
      <c r="H23" s="19" t="s">
        <v>27</v>
      </c>
      <c r="I23" s="19" t="s">
        <v>54</v>
      </c>
      <c r="J23" s="19" t="s">
        <v>51</v>
      </c>
      <c r="K23" s="19" t="s">
        <v>88</v>
      </c>
      <c r="L23" s="20"/>
      <c r="M23" s="21">
        <f>F22/30*7+G22/30*7+H22/30*7+J22/30*1+K22/30*1+L22/30*8</f>
        <v>15.999999999999996</v>
      </c>
      <c r="N23" s="21">
        <f>F22/30*15+G22/30*15+H22/30*15+J22/30*15+K22/30*5+L22/30*12</f>
        <v>41.333333333333336</v>
      </c>
      <c r="O23" s="21">
        <f>I22/10*45+L22/30*5</f>
        <v>25.833333333333332</v>
      </c>
      <c r="P23" s="21">
        <f>F22/30*80+G22/30*80+H22/30*80+I22/30*45+J22/30*60+K22/30*25+L22/30*120</f>
        <v>250.83333333333331</v>
      </c>
      <c r="R23" s="241" t="s">
        <v>85</v>
      </c>
      <c r="S23" s="238" t="s">
        <v>1</v>
      </c>
      <c r="T23" s="237">
        <f>B22</f>
        <v>250</v>
      </c>
      <c r="U23" s="238" t="s">
        <v>23</v>
      </c>
      <c r="V23" s="237">
        <f t="shared" ref="V23:V77" si="45">M23</f>
        <v>15.999999999999996</v>
      </c>
      <c r="W23" s="238" t="s">
        <v>24</v>
      </c>
      <c r="X23" s="237">
        <f t="shared" ref="X23" si="46">N23</f>
        <v>41.333333333333336</v>
      </c>
      <c r="Y23" s="238" t="s">
        <v>13</v>
      </c>
      <c r="Z23" s="237">
        <f t="shared" ref="Z23:Z55" si="47">O23</f>
        <v>25.833333333333332</v>
      </c>
      <c r="AA23" s="238" t="s">
        <v>4</v>
      </c>
      <c r="AB23" s="238">
        <f t="shared" ref="AB23" si="48">P23</f>
        <v>250.83333333333331</v>
      </c>
      <c r="AC23" s="239" t="str">
        <f>R23</f>
        <v>آش رشته</v>
      </c>
      <c r="AD23" s="26" t="s">
        <v>11</v>
      </c>
      <c r="AE23" s="27" t="s">
        <v>12</v>
      </c>
      <c r="AF23" s="28" t="s">
        <v>13</v>
      </c>
      <c r="AG23" s="29" t="s">
        <v>4</v>
      </c>
      <c r="AK23" s="32" t="s">
        <v>19</v>
      </c>
      <c r="AL23" s="34"/>
      <c r="AM23" s="96"/>
      <c r="AN23" s="96"/>
      <c r="AO23" s="96"/>
      <c r="AP23" s="96"/>
      <c r="AQ23" s="96"/>
      <c r="AR23" s="96"/>
      <c r="AS23" s="97"/>
      <c r="AT23" s="97"/>
      <c r="AU23" s="97"/>
      <c r="AV23" s="36"/>
      <c r="AX23" s="2" t="s">
        <v>19</v>
      </c>
      <c r="AY23" s="94" t="s">
        <v>89</v>
      </c>
      <c r="AZ23" s="21" t="s">
        <v>90</v>
      </c>
      <c r="BA23" s="21">
        <v>5</v>
      </c>
      <c r="BB23" s="227"/>
      <c r="BC23" s="228"/>
      <c r="BD23" s="228"/>
      <c r="BE23" s="228"/>
      <c r="BF23" s="228"/>
      <c r="BG23" s="228"/>
      <c r="BH23" s="228"/>
      <c r="BI23" s="228"/>
      <c r="BJ23" s="228"/>
      <c r="BK23" s="228"/>
      <c r="BL23" s="228"/>
      <c r="BM23" s="240"/>
    </row>
    <row r="24" spans="1:65" ht="21.75" thickBot="1">
      <c r="A24" s="3" t="s">
        <v>91</v>
      </c>
      <c r="B24" s="3">
        <v>250</v>
      </c>
      <c r="C24" s="3" t="s">
        <v>22</v>
      </c>
      <c r="D24" s="4">
        <f t="shared" ref="D24" si="49">B24/250</f>
        <v>1</v>
      </c>
      <c r="E24" s="5">
        <f>B24/0.9</f>
        <v>277.77777777777777</v>
      </c>
      <c r="F24" s="18">
        <f>B24/8.33</f>
        <v>30.012004801920767</v>
      </c>
      <c r="G24" s="19">
        <f>B24/16.66</f>
        <v>15.006002400960384</v>
      </c>
      <c r="H24" s="19">
        <f>B24/25</f>
        <v>10</v>
      </c>
      <c r="I24" s="19">
        <f>B24/8.33</f>
        <v>30.012004801920767</v>
      </c>
      <c r="J24" s="19">
        <f>B24/50</f>
        <v>5</v>
      </c>
      <c r="K24" s="19">
        <f>B24/8.33</f>
        <v>30.012004801920767</v>
      </c>
      <c r="L24" s="20"/>
      <c r="M24" s="9" t="s">
        <v>11</v>
      </c>
      <c r="N24" s="9" t="s">
        <v>12</v>
      </c>
      <c r="O24" s="9" t="s">
        <v>13</v>
      </c>
      <c r="P24" s="9" t="s">
        <v>4</v>
      </c>
      <c r="R24" s="236"/>
      <c r="S24" s="232"/>
      <c r="T24" s="230"/>
      <c r="U24" s="232"/>
      <c r="V24" s="230"/>
      <c r="W24" s="232"/>
      <c r="X24" s="230"/>
      <c r="Y24" s="232"/>
      <c r="Z24" s="230"/>
      <c r="AA24" s="232"/>
      <c r="AB24" s="232"/>
      <c r="AC24" s="234"/>
      <c r="AD24" s="26">
        <f>VLOOKUP(AC25,R25:AB26,5,0)</f>
        <v>10.836734693877551</v>
      </c>
      <c r="AE24" s="27">
        <f>VLOOKUP(AC25,R25:AB26,7,0)</f>
        <v>32.511004401760701</v>
      </c>
      <c r="AF24" s="28">
        <f>VLOOKUP(AC25,R25:AB26,9,0)</f>
        <v>7.5020008003201273</v>
      </c>
      <c r="AG24" s="29">
        <f>VLOOKUP(AC25,R25:AB26,11,0)</f>
        <v>269.25470188075229</v>
      </c>
      <c r="AK24" s="45" t="s">
        <v>19</v>
      </c>
      <c r="AL24" s="40"/>
      <c r="AM24" s="51"/>
      <c r="AN24" s="51"/>
      <c r="AO24" s="51"/>
      <c r="AP24" s="51"/>
      <c r="AQ24" s="51"/>
      <c r="AR24" s="51"/>
      <c r="AS24" s="57"/>
      <c r="AT24" s="57"/>
      <c r="AU24" s="57"/>
      <c r="AV24" s="48"/>
      <c r="AX24" s="2" t="s">
        <v>92</v>
      </c>
      <c r="AY24" s="94" t="s">
        <v>93</v>
      </c>
      <c r="AZ24" s="9" t="s">
        <v>94</v>
      </c>
      <c r="BA24" s="21">
        <v>6</v>
      </c>
      <c r="BB24" s="100"/>
      <c r="BC24" s="101"/>
      <c r="BD24" s="101"/>
      <c r="BE24" s="101"/>
      <c r="BF24" s="101"/>
      <c r="BG24" s="101"/>
      <c r="BH24" s="101"/>
      <c r="BI24" s="101"/>
      <c r="BJ24" s="101"/>
      <c r="BK24" s="101"/>
      <c r="BL24" s="101"/>
      <c r="BM24" s="102"/>
    </row>
    <row r="25" spans="1:65">
      <c r="A25" s="3" t="s">
        <v>0</v>
      </c>
      <c r="B25" s="3" t="s">
        <v>1</v>
      </c>
      <c r="C25" s="3" t="s">
        <v>2</v>
      </c>
      <c r="D25" s="4" t="s">
        <v>3</v>
      </c>
      <c r="E25" s="5" t="s">
        <v>4</v>
      </c>
      <c r="F25" s="18" t="s">
        <v>63</v>
      </c>
      <c r="G25" s="19" t="s">
        <v>8</v>
      </c>
      <c r="H25" s="19" t="s">
        <v>27</v>
      </c>
      <c r="I25" s="19" t="s">
        <v>95</v>
      </c>
      <c r="J25" s="19" t="s">
        <v>64</v>
      </c>
      <c r="K25" s="19" t="s">
        <v>88</v>
      </c>
      <c r="L25" s="20"/>
      <c r="M25" s="21">
        <f>F24/30*1+G24/30*1+H24/30*7+I24/30*7</f>
        <v>10.836734693877551</v>
      </c>
      <c r="N25" s="21">
        <f>F24/30*15+G24/30*15+H24/30*15+K24/30*5</f>
        <v>32.511004401760701</v>
      </c>
      <c r="O25" s="21">
        <f>J24/10*5+I24/30*5</f>
        <v>7.5020008003201273</v>
      </c>
      <c r="P25" s="21">
        <f>F24/30*80+G24/30*80+H24/30*80+I24/30*75+J24/10*45+K24/30*25</f>
        <v>269.25470188075229</v>
      </c>
      <c r="R25" s="241" t="s">
        <v>91</v>
      </c>
      <c r="S25" s="238" t="s">
        <v>1</v>
      </c>
      <c r="T25" s="237">
        <f>B24</f>
        <v>250</v>
      </c>
      <c r="U25" s="238" t="s">
        <v>23</v>
      </c>
      <c r="V25" s="237">
        <f t="shared" ref="V25:V79" si="50">M25</f>
        <v>10.836734693877551</v>
      </c>
      <c r="W25" s="238" t="s">
        <v>24</v>
      </c>
      <c r="X25" s="237">
        <f t="shared" ref="X25" si="51">N25</f>
        <v>32.511004401760701</v>
      </c>
      <c r="Y25" s="238" t="s">
        <v>13</v>
      </c>
      <c r="Z25" s="237">
        <f t="shared" ref="Z25:Z57" si="52">O25</f>
        <v>7.5020008003201273</v>
      </c>
      <c r="AA25" s="238" t="s">
        <v>4</v>
      </c>
      <c r="AB25" s="238">
        <f t="shared" ref="AB25" si="53">P25</f>
        <v>269.25470188075229</v>
      </c>
      <c r="AC25" s="239" t="str">
        <f>R25</f>
        <v>آش گوجه</v>
      </c>
      <c r="AD25" s="26" t="s">
        <v>11</v>
      </c>
      <c r="AE25" s="27" t="s">
        <v>12</v>
      </c>
      <c r="AF25" s="28" t="s">
        <v>13</v>
      </c>
      <c r="AG25" s="29" t="s">
        <v>4</v>
      </c>
      <c r="AK25" s="38" t="s">
        <v>19</v>
      </c>
      <c r="AL25" s="40"/>
      <c r="AM25" s="51"/>
      <c r="AN25" s="51"/>
      <c r="AO25" s="51"/>
      <c r="AP25" s="51"/>
      <c r="AQ25" s="51"/>
      <c r="AR25" s="51"/>
      <c r="AS25" s="57"/>
      <c r="AT25" s="57"/>
      <c r="AU25" s="57"/>
      <c r="AV25" s="48"/>
      <c r="AY25" s="94" t="s">
        <v>96</v>
      </c>
      <c r="AZ25" s="21" t="s">
        <v>97</v>
      </c>
      <c r="BA25" s="21">
        <v>7</v>
      </c>
    </row>
    <row r="26" spans="1:65">
      <c r="A26" s="3" t="s">
        <v>98</v>
      </c>
      <c r="B26" s="3">
        <v>250</v>
      </c>
      <c r="C26" s="3" t="s">
        <v>22</v>
      </c>
      <c r="D26" s="4">
        <f t="shared" ref="D26" si="54">B26/250</f>
        <v>1</v>
      </c>
      <c r="E26" s="5">
        <f>B26/1.02</f>
        <v>245.09803921568627</v>
      </c>
      <c r="F26" s="18">
        <f>B26/8.33</f>
        <v>30.012004801920767</v>
      </c>
      <c r="G26" s="19">
        <f>B26/8.33</f>
        <v>30.012004801920767</v>
      </c>
      <c r="H26" s="19">
        <f>B26/16.6</f>
        <v>15.060240963855421</v>
      </c>
      <c r="I26" s="19">
        <f>B26/6.16</f>
        <v>40.584415584415581</v>
      </c>
      <c r="J26" s="19">
        <f>B26/16.6</f>
        <v>15.060240963855421</v>
      </c>
      <c r="K26" s="19">
        <f>B26/8.33</f>
        <v>30.012004801920767</v>
      </c>
      <c r="L26" s="20"/>
      <c r="M26" s="9" t="s">
        <v>11</v>
      </c>
      <c r="N26" s="9" t="s">
        <v>12</v>
      </c>
      <c r="O26" s="9" t="s">
        <v>13</v>
      </c>
      <c r="P26" s="9" t="s">
        <v>4</v>
      </c>
      <c r="R26" s="236"/>
      <c r="S26" s="232"/>
      <c r="T26" s="230"/>
      <c r="U26" s="232"/>
      <c r="V26" s="230"/>
      <c r="W26" s="232"/>
      <c r="X26" s="230"/>
      <c r="Y26" s="232"/>
      <c r="Z26" s="230"/>
      <c r="AA26" s="232"/>
      <c r="AB26" s="232"/>
      <c r="AC26" s="234"/>
      <c r="AD26" s="26">
        <f>VLOOKUP(AC27,R27:AB28,5,0)</f>
        <v>23.842176520115164</v>
      </c>
      <c r="AE26" s="27">
        <f>VLOOKUP(AC27,R27:AB28,7,0)</f>
        <v>66.308012799862553</v>
      </c>
      <c r="AF26" s="28">
        <f>VLOOKUP(AC27,R27:AB28,9,0)</f>
        <v>6.7640692640692635</v>
      </c>
      <c r="AG26" s="29">
        <f>VLOOKUP(AC27,R27:AB28,11,0)</f>
        <v>427.73297709006931</v>
      </c>
      <c r="AK26" s="45" t="s">
        <v>19</v>
      </c>
      <c r="AL26" s="40"/>
      <c r="AM26" s="51"/>
      <c r="AN26" s="51"/>
      <c r="AO26" s="51"/>
      <c r="AP26" s="51"/>
      <c r="AQ26" s="51"/>
      <c r="AR26" s="51"/>
      <c r="AS26" s="57"/>
      <c r="AT26" s="57"/>
      <c r="AU26" s="57"/>
      <c r="AV26" s="48"/>
      <c r="AY26" s="94"/>
      <c r="AZ26" s="21" t="s">
        <v>99</v>
      </c>
      <c r="BA26" s="21">
        <v>8</v>
      </c>
    </row>
    <row r="27" spans="1:65">
      <c r="A27" s="3" t="s">
        <v>0</v>
      </c>
      <c r="B27" s="3" t="s">
        <v>1</v>
      </c>
      <c r="C27" s="3" t="s">
        <v>2</v>
      </c>
      <c r="D27" s="4" t="s">
        <v>3</v>
      </c>
      <c r="E27" s="5" t="s">
        <v>4</v>
      </c>
      <c r="F27" s="18" t="s">
        <v>100</v>
      </c>
      <c r="G27" s="19" t="s">
        <v>5</v>
      </c>
      <c r="H27" s="19" t="s">
        <v>10</v>
      </c>
      <c r="I27" s="19"/>
      <c r="J27" s="19"/>
      <c r="K27" s="19"/>
      <c r="L27" s="20"/>
      <c r="M27" s="21">
        <f>F26/30*1+G26/30*7+H26/30*7+I26/30*8+J26/30*1+K26/30*1</f>
        <v>23.842176520115164</v>
      </c>
      <c r="N27" s="21">
        <f>F26/30*15+G26/30*15+H26/30*15+I26/30*12+J26/30*15+K26/30*5</f>
        <v>66.308012799862553</v>
      </c>
      <c r="O27" s="21">
        <f>I26/30*5</f>
        <v>6.7640692640692635</v>
      </c>
      <c r="P27" s="21">
        <f>F26/30*80+G26/30*80+H26/30*80+I26/30*120+J26/30*80+K26/30*25</f>
        <v>427.73297709006931</v>
      </c>
      <c r="R27" s="241" t="s">
        <v>98</v>
      </c>
      <c r="S27" s="238" t="s">
        <v>1</v>
      </c>
      <c r="T27" s="237">
        <f>B26</f>
        <v>250</v>
      </c>
      <c r="U27" s="238" t="s">
        <v>23</v>
      </c>
      <c r="V27" s="237">
        <f t="shared" ref="V27:V81" si="55">M27</f>
        <v>23.842176520115164</v>
      </c>
      <c r="W27" s="238" t="s">
        <v>24</v>
      </c>
      <c r="X27" s="237">
        <f t="shared" ref="X27" si="56">N27</f>
        <v>66.308012799862553</v>
      </c>
      <c r="Y27" s="238" t="s">
        <v>13</v>
      </c>
      <c r="Z27" s="237">
        <f t="shared" ref="Z27:Z59" si="57">O27</f>
        <v>6.7640692640692635</v>
      </c>
      <c r="AA27" s="238" t="s">
        <v>4</v>
      </c>
      <c r="AB27" s="238">
        <f t="shared" ref="AB27" si="58">P27</f>
        <v>427.73297709006931</v>
      </c>
      <c r="AC27" s="239" t="str">
        <f>R27</f>
        <v>آش ماست</v>
      </c>
      <c r="AD27" s="26" t="s">
        <v>11</v>
      </c>
      <c r="AE27" s="27" t="s">
        <v>12</v>
      </c>
      <c r="AF27" s="28" t="s">
        <v>13</v>
      </c>
      <c r="AG27" s="29" t="s">
        <v>4</v>
      </c>
      <c r="AK27" s="88" t="s">
        <v>19</v>
      </c>
      <c r="AL27" s="40"/>
      <c r="AM27" s="51"/>
      <c r="AN27" s="51"/>
      <c r="AO27" s="51"/>
      <c r="AP27" s="51"/>
      <c r="AQ27" s="51"/>
      <c r="AR27" s="51"/>
      <c r="AS27" s="57"/>
      <c r="AT27" s="57"/>
      <c r="AU27" s="57"/>
      <c r="AV27" s="48"/>
      <c r="AZ27" s="21" t="s">
        <v>101</v>
      </c>
      <c r="BA27" s="21">
        <v>910</v>
      </c>
    </row>
    <row r="28" spans="1:65" ht="21.75" thickBot="1">
      <c r="A28" s="3" t="s">
        <v>102</v>
      </c>
      <c r="B28" s="3">
        <v>250</v>
      </c>
      <c r="C28" s="3" t="s">
        <v>22</v>
      </c>
      <c r="D28" s="4">
        <f t="shared" ref="D28" si="59">B28/250</f>
        <v>1</v>
      </c>
      <c r="E28" s="5">
        <f>B28/0.81</f>
        <v>308.64197530864197</v>
      </c>
      <c r="F28" s="18">
        <f>B28/2.5</f>
        <v>100</v>
      </c>
      <c r="G28" s="19">
        <f>B28/8.33</f>
        <v>30.012004801920767</v>
      </c>
      <c r="H28" s="19">
        <f>B28/25</f>
        <v>10</v>
      </c>
      <c r="I28" s="19"/>
      <c r="J28" s="19"/>
      <c r="K28" s="19"/>
      <c r="L28" s="20"/>
      <c r="M28" s="9" t="s">
        <v>11</v>
      </c>
      <c r="N28" s="9" t="s">
        <v>12</v>
      </c>
      <c r="O28" s="9" t="s">
        <v>13</v>
      </c>
      <c r="P28" s="9" t="s">
        <v>4</v>
      </c>
      <c r="R28" s="236"/>
      <c r="S28" s="232"/>
      <c r="T28" s="230"/>
      <c r="U28" s="232"/>
      <c r="V28" s="230"/>
      <c r="W28" s="232"/>
      <c r="X28" s="230"/>
      <c r="Y28" s="232"/>
      <c r="Z28" s="230"/>
      <c r="AA28" s="232"/>
      <c r="AB28" s="232"/>
      <c r="AC28" s="234"/>
      <c r="AD28" s="26">
        <f>VLOOKUP(AC29,R29:AB30,5,0)</f>
        <v>10.669467787114847</v>
      </c>
      <c r="AE28" s="27">
        <f>VLOOKUP(AC29,R29:AB30,7,0)</f>
        <v>51.666666666666664</v>
      </c>
      <c r="AF28" s="28">
        <f>VLOOKUP(AC29,R29:AB30,9,0)</f>
        <v>5.0020008003201273</v>
      </c>
      <c r="AG28" s="29">
        <f>VLOOKUP(AC29,R29:AB30,11,0)</f>
        <v>283.36334533813522</v>
      </c>
      <c r="AK28" s="89" t="s">
        <v>19</v>
      </c>
      <c r="AL28" s="99"/>
      <c r="AM28" s="91"/>
      <c r="AN28" s="91"/>
      <c r="AO28" s="91"/>
      <c r="AP28" s="91"/>
      <c r="AQ28" s="91"/>
      <c r="AR28" s="91"/>
      <c r="AS28" s="92"/>
      <c r="AT28" s="92"/>
      <c r="AU28" s="92"/>
      <c r="AV28" s="93"/>
      <c r="AZ28" s="21" t="s">
        <v>103</v>
      </c>
      <c r="BA28" s="21">
        <v>11</v>
      </c>
    </row>
    <row r="29" spans="1:65">
      <c r="A29" s="3" t="s">
        <v>0</v>
      </c>
      <c r="B29" s="3" t="s">
        <v>1</v>
      </c>
      <c r="C29" s="3" t="s">
        <v>2</v>
      </c>
      <c r="D29" s="4" t="s">
        <v>3</v>
      </c>
      <c r="E29" s="5" t="s">
        <v>4</v>
      </c>
      <c r="F29" s="18" t="s">
        <v>72</v>
      </c>
      <c r="G29" s="19" t="s">
        <v>26</v>
      </c>
      <c r="H29" s="19" t="s">
        <v>47</v>
      </c>
      <c r="I29" s="19" t="s">
        <v>104</v>
      </c>
      <c r="J29" s="19" t="s">
        <v>105</v>
      </c>
      <c r="K29" s="19"/>
      <c r="L29" s="20"/>
      <c r="M29" s="21">
        <f>[1]Sheet2!F28/30*1+[1]Sheet2!G28/30*7+[1]Sheet2!H28/30*1</f>
        <v>10.669467787114847</v>
      </c>
      <c r="N29" s="21">
        <f>F28/30*15+H28/30*5</f>
        <v>51.666666666666664</v>
      </c>
      <c r="O29" s="21">
        <f>G28/30*5</f>
        <v>5.0020008003201273</v>
      </c>
      <c r="P29" s="21">
        <f>F28/30*60+G28/30*75+H28/30*25</f>
        <v>283.36334533813522</v>
      </c>
      <c r="R29" s="241" t="s">
        <v>102</v>
      </c>
      <c r="S29" s="238" t="s">
        <v>1</v>
      </c>
      <c r="T29" s="237">
        <f>B28</f>
        <v>250</v>
      </c>
      <c r="U29" s="238" t="s">
        <v>23</v>
      </c>
      <c r="V29" s="237">
        <f t="shared" ref="V29:V83" si="60">M29</f>
        <v>10.669467787114847</v>
      </c>
      <c r="W29" s="238" t="s">
        <v>24</v>
      </c>
      <c r="X29" s="237">
        <f t="shared" ref="X29" si="61">N29</f>
        <v>51.666666666666664</v>
      </c>
      <c r="Y29" s="238" t="s">
        <v>13</v>
      </c>
      <c r="Z29" s="237">
        <f t="shared" ref="Z29:Z61" si="62">O29</f>
        <v>5.0020008003201273</v>
      </c>
      <c r="AA29" s="238" t="s">
        <v>4</v>
      </c>
      <c r="AB29" s="238">
        <f t="shared" ref="AB29" si="63">P29</f>
        <v>283.36334533813522</v>
      </c>
      <c r="AC29" s="239" t="str">
        <f>R29</f>
        <v>حلیم گندم</v>
      </c>
      <c r="AD29" s="26" t="s">
        <v>11</v>
      </c>
      <c r="AE29" s="27" t="s">
        <v>12</v>
      </c>
      <c r="AF29" s="28" t="s">
        <v>13</v>
      </c>
      <c r="AG29" s="29" t="s">
        <v>4</v>
      </c>
      <c r="AK29" s="32" t="s">
        <v>92</v>
      </c>
      <c r="AL29" s="34"/>
      <c r="AM29" s="96"/>
      <c r="AN29" s="96"/>
      <c r="AO29" s="96"/>
      <c r="AP29" s="96"/>
      <c r="AQ29" s="96"/>
      <c r="AR29" s="96"/>
      <c r="AS29" s="97"/>
      <c r="AT29" s="97"/>
      <c r="AU29" s="97"/>
      <c r="AV29" s="36"/>
      <c r="AZ29" s="21" t="s">
        <v>106</v>
      </c>
      <c r="BA29" s="21">
        <v>12</v>
      </c>
    </row>
    <row r="30" spans="1:65" ht="21.75" thickBot="1">
      <c r="A30" s="3" t="s">
        <v>107</v>
      </c>
      <c r="B30" s="3">
        <v>250</v>
      </c>
      <c r="C30" s="3" t="s">
        <v>22</v>
      </c>
      <c r="D30" s="4">
        <f t="shared" ref="D30" si="64">B30/250</f>
        <v>1</v>
      </c>
      <c r="E30" s="5">
        <f>B30/0.94</f>
        <v>265.95744680851067</v>
      </c>
      <c r="F30" s="18">
        <f>B30/10</f>
        <v>25</v>
      </c>
      <c r="G30" s="19">
        <f>B30/5</f>
        <v>50</v>
      </c>
      <c r="H30" s="19">
        <f>B30/10</f>
        <v>25</v>
      </c>
      <c r="I30" s="19">
        <f>B30/4.16</f>
        <v>60.096153846153847</v>
      </c>
      <c r="J30" s="19"/>
      <c r="K30" s="19"/>
      <c r="L30" s="20"/>
      <c r="M30" s="9" t="s">
        <v>11</v>
      </c>
      <c r="N30" s="9" t="s">
        <v>12</v>
      </c>
      <c r="O30" s="9" t="s">
        <v>13</v>
      </c>
      <c r="P30" s="9" t="s">
        <v>4</v>
      </c>
      <c r="R30" s="236"/>
      <c r="S30" s="232"/>
      <c r="T30" s="230"/>
      <c r="U30" s="232"/>
      <c r="V30" s="230"/>
      <c r="W30" s="232"/>
      <c r="X30" s="230"/>
      <c r="Y30" s="232"/>
      <c r="Z30" s="230"/>
      <c r="AA30" s="232"/>
      <c r="AB30" s="232"/>
      <c r="AC30" s="234"/>
      <c r="AD30" s="26">
        <f>VLOOKUP(AC31,R31:AB32,5,0)</f>
        <v>29.358974358974361</v>
      </c>
      <c r="AE30" s="27">
        <f>VLOOKUP(AC31,R31:AB32,7,0)</f>
        <v>40.705128205128204</v>
      </c>
      <c r="AF30" s="28">
        <f>VLOOKUP(AC31,R31:AB32,9,0)</f>
        <v>18.349358974358974</v>
      </c>
      <c r="AG30" s="29">
        <f>VLOOKUP(AC31,R31:AB32,11,0)</f>
        <v>377.88461538461536</v>
      </c>
      <c r="AK30" s="98" t="s">
        <v>92</v>
      </c>
      <c r="AL30" s="99"/>
      <c r="AM30" s="91"/>
      <c r="AN30" s="91"/>
      <c r="AO30" s="91"/>
      <c r="AP30" s="91"/>
      <c r="AQ30" s="91"/>
      <c r="AR30" s="91"/>
      <c r="AS30" s="92"/>
      <c r="AT30" s="92"/>
      <c r="AU30" s="92"/>
      <c r="AV30" s="93"/>
      <c r="AZ30" s="21" t="s">
        <v>108</v>
      </c>
      <c r="BA30" s="21">
        <v>13</v>
      </c>
    </row>
    <row r="31" spans="1:65">
      <c r="A31" s="3" t="s">
        <v>0</v>
      </c>
      <c r="B31" s="3" t="s">
        <v>1</v>
      </c>
      <c r="C31" s="3" t="s">
        <v>2</v>
      </c>
      <c r="D31" s="4" t="s">
        <v>3</v>
      </c>
      <c r="E31" s="5" t="s">
        <v>4</v>
      </c>
      <c r="F31" s="18" t="s">
        <v>109</v>
      </c>
      <c r="G31" s="19" t="s">
        <v>6</v>
      </c>
      <c r="H31" s="19" t="s">
        <v>47</v>
      </c>
      <c r="I31" s="19"/>
      <c r="J31" s="19"/>
      <c r="K31" s="19"/>
      <c r="L31" s="20"/>
      <c r="M31" s="21">
        <f>F30/30*1+G30/30*7+H30/30*1+I30/30*8</f>
        <v>29.358974358974361</v>
      </c>
      <c r="N31" s="21">
        <f>F30/30*15+H30/30*5+I30/30*12</f>
        <v>40.705128205128204</v>
      </c>
      <c r="O31" s="21">
        <f>G30/30*5+I30/30*5</f>
        <v>18.349358974358974</v>
      </c>
      <c r="P31" s="21">
        <f>F30/30*30+G30/30*55+H30/30*25+I30/30*120</f>
        <v>377.88461538461536</v>
      </c>
      <c r="R31" s="241" t="s">
        <v>107</v>
      </c>
      <c r="S31" s="238" t="s">
        <v>1</v>
      </c>
      <c r="T31" s="237">
        <f>B30</f>
        <v>250</v>
      </c>
      <c r="U31" s="238" t="s">
        <v>23</v>
      </c>
      <c r="V31" s="237">
        <f t="shared" ref="V31:V85" si="65">M31</f>
        <v>29.358974358974361</v>
      </c>
      <c r="W31" s="238" t="s">
        <v>24</v>
      </c>
      <c r="X31" s="237">
        <f t="shared" ref="X31" si="66">N31</f>
        <v>40.705128205128204</v>
      </c>
      <c r="Y31" s="238" t="s">
        <v>13</v>
      </c>
      <c r="Z31" s="237">
        <f t="shared" ref="Z31:Z47" si="67">O31</f>
        <v>18.349358974358974</v>
      </c>
      <c r="AA31" s="238" t="s">
        <v>4</v>
      </c>
      <c r="AB31" s="238">
        <f t="shared" ref="AB31" si="68">P31</f>
        <v>377.88461538461536</v>
      </c>
      <c r="AC31" s="239" t="str">
        <f>R31</f>
        <v>سوپ جو</v>
      </c>
      <c r="AD31" s="26" t="s">
        <v>11</v>
      </c>
      <c r="AE31" s="27" t="s">
        <v>12</v>
      </c>
      <c r="AF31" s="28" t="s">
        <v>13</v>
      </c>
      <c r="AG31" s="29" t="s">
        <v>4</v>
      </c>
      <c r="AZ31" s="21" t="s">
        <v>110</v>
      </c>
      <c r="BA31" s="21">
        <v>14</v>
      </c>
    </row>
    <row r="32" spans="1:65">
      <c r="A32" s="3" t="s">
        <v>111</v>
      </c>
      <c r="B32" s="3">
        <v>250</v>
      </c>
      <c r="C32" s="3" t="s">
        <v>22</v>
      </c>
      <c r="D32" s="4">
        <f t="shared" ref="D32" si="69">B32/250</f>
        <v>1</v>
      </c>
      <c r="E32" s="5">
        <f>B32/0.89</f>
        <v>280.89887640449439</v>
      </c>
      <c r="F32" s="18">
        <f>B32/6.25</f>
        <v>40</v>
      </c>
      <c r="G32" s="19">
        <f>B32/8.33</f>
        <v>30.012004801920767</v>
      </c>
      <c r="H32" s="19">
        <f>B32/16.6</f>
        <v>15.060240963855421</v>
      </c>
      <c r="I32" s="19"/>
      <c r="J32" s="19"/>
      <c r="K32" s="19"/>
      <c r="L32" s="20"/>
      <c r="M32" s="9" t="s">
        <v>11</v>
      </c>
      <c r="N32" s="9" t="s">
        <v>12</v>
      </c>
      <c r="O32" s="9" t="s">
        <v>13</v>
      </c>
      <c r="P32" s="9" t="s">
        <v>4</v>
      </c>
      <c r="R32" s="236"/>
      <c r="S32" s="232"/>
      <c r="T32" s="230"/>
      <c r="U32" s="232"/>
      <c r="V32" s="230"/>
      <c r="W32" s="232"/>
      <c r="X32" s="230"/>
      <c r="Y32" s="232"/>
      <c r="Z32" s="230"/>
      <c r="AA32" s="232"/>
      <c r="AB32" s="232"/>
      <c r="AC32" s="234"/>
      <c r="AD32" s="26">
        <f>VLOOKUP(AC33,R33:AB34,5,0)</f>
        <v>2.8357415255258731</v>
      </c>
      <c r="AE32" s="27">
        <f>VLOOKUP(AC33,R33:AB34,7,0)</f>
        <v>27.512040960962697</v>
      </c>
      <c r="AF32" s="28">
        <f>VLOOKUP(AC33,R33:AB34,9,0)</f>
        <v>0</v>
      </c>
      <c r="AG32" s="29">
        <f>VLOOKUP(AC33,R33:AB34,11,0)</f>
        <v>192.19268430263671</v>
      </c>
      <c r="AZ32" s="21" t="s">
        <v>88</v>
      </c>
      <c r="BA32" s="21">
        <v>15</v>
      </c>
    </row>
    <row r="33" spans="1:53">
      <c r="A33" s="3" t="s">
        <v>0</v>
      </c>
      <c r="B33" s="3" t="s">
        <v>1</v>
      </c>
      <c r="C33" s="3" t="s">
        <v>2</v>
      </c>
      <c r="D33" s="4" t="s">
        <v>3</v>
      </c>
      <c r="E33" s="5" t="s">
        <v>4</v>
      </c>
      <c r="F33" s="18" t="s">
        <v>73</v>
      </c>
      <c r="G33" s="19" t="s">
        <v>112</v>
      </c>
      <c r="H33" s="19" t="s">
        <v>113</v>
      </c>
      <c r="I33" s="19" t="s">
        <v>37</v>
      </c>
      <c r="J33" s="19"/>
      <c r="K33" s="19"/>
      <c r="L33" s="20"/>
      <c r="M33" s="21">
        <f>F32/30*1+G32/30*1+H32/30*1</f>
        <v>2.8357415255258731</v>
      </c>
      <c r="N33" s="21">
        <f>F32/30*15+G32/30*5+H32/30*5</f>
        <v>27.512040960962697</v>
      </c>
      <c r="O33" s="21">
        <v>0</v>
      </c>
      <c r="P33" s="21">
        <f>F32/30*80+G32/30*60+H32/30+25</f>
        <v>192.19268430263671</v>
      </c>
      <c r="R33" s="241" t="s">
        <v>111</v>
      </c>
      <c r="S33" s="238" t="s">
        <v>1</v>
      </c>
      <c r="T33" s="237">
        <f>B32</f>
        <v>250</v>
      </c>
      <c r="U33" s="238" t="s">
        <v>23</v>
      </c>
      <c r="V33" s="237">
        <f t="shared" ref="V33:V87" si="70">M33</f>
        <v>2.8357415255258731</v>
      </c>
      <c r="W33" s="238" t="s">
        <v>24</v>
      </c>
      <c r="X33" s="237">
        <f t="shared" ref="X33" si="71">N33</f>
        <v>27.512040960962697</v>
      </c>
      <c r="Y33" s="238" t="s">
        <v>13</v>
      </c>
      <c r="Z33" s="237">
        <f t="shared" ref="Z33:Z49" si="72">O33</f>
        <v>0</v>
      </c>
      <c r="AA33" s="238" t="s">
        <v>4</v>
      </c>
      <c r="AB33" s="238">
        <f t="shared" ref="AB33" si="73">P33</f>
        <v>192.19268430263671</v>
      </c>
      <c r="AC33" s="239" t="str">
        <f>R33</f>
        <v>سوپ ورمیشل</v>
      </c>
      <c r="AD33" s="26" t="s">
        <v>11</v>
      </c>
      <c r="AE33" s="27" t="s">
        <v>12</v>
      </c>
      <c r="AF33" s="28" t="s">
        <v>13</v>
      </c>
      <c r="AG33" s="29" t="s">
        <v>4</v>
      </c>
      <c r="AZ33" s="21" t="s">
        <v>114</v>
      </c>
      <c r="BA33" s="21">
        <v>16</v>
      </c>
    </row>
    <row r="34" spans="1:53">
      <c r="A34" s="3" t="s">
        <v>115</v>
      </c>
      <c r="B34" s="3">
        <v>250</v>
      </c>
      <c r="C34" s="3" t="s">
        <v>22</v>
      </c>
      <c r="D34" s="4">
        <f t="shared" ref="D34" si="74">B34/250</f>
        <v>1</v>
      </c>
      <c r="E34" s="5">
        <f>B34/0.87</f>
        <v>287.35632183908046</v>
      </c>
      <c r="F34" s="18">
        <f>B34/8.33</f>
        <v>30.012004801920767</v>
      </c>
      <c r="G34" s="19">
        <f>B34/10</f>
        <v>25</v>
      </c>
      <c r="H34" s="19">
        <f>B34/25</f>
        <v>10</v>
      </c>
      <c r="I34" s="19">
        <f>B34/4.16</f>
        <v>60.096153846153847</v>
      </c>
      <c r="J34" s="19"/>
      <c r="K34" s="19"/>
      <c r="L34" s="20"/>
      <c r="M34" s="9" t="s">
        <v>11</v>
      </c>
      <c r="N34" s="9" t="s">
        <v>12</v>
      </c>
      <c r="O34" s="9" t="s">
        <v>13</v>
      </c>
      <c r="P34" s="9" t="s">
        <v>4</v>
      </c>
      <c r="R34" s="236"/>
      <c r="S34" s="232"/>
      <c r="T34" s="230"/>
      <c r="U34" s="232"/>
      <c r="V34" s="230"/>
      <c r="W34" s="232"/>
      <c r="X34" s="230"/>
      <c r="Y34" s="232"/>
      <c r="Z34" s="230"/>
      <c r="AA34" s="232"/>
      <c r="AB34" s="232"/>
      <c r="AC34" s="234"/>
      <c r="AD34" s="26">
        <f>VLOOKUP(AC35,R35:AB36,5,0)</f>
        <v>20.356967787114847</v>
      </c>
      <c r="AE34" s="27">
        <f>VLOOKUP(AC35,R35:AB36,7,0)</f>
        <v>20.006002400960384</v>
      </c>
      <c r="AF34" s="28">
        <f>VLOOKUP(AC35,R35:AB36,9,0)</f>
        <v>67.508012820512818</v>
      </c>
      <c r="AG34" s="29">
        <f>VLOOKUP(AC35,R35:AB36,11,0)</f>
        <v>267.64420191153386</v>
      </c>
      <c r="AZ34" s="21" t="s">
        <v>116</v>
      </c>
      <c r="BA34" s="21">
        <v>17</v>
      </c>
    </row>
    <row r="35" spans="1:53">
      <c r="A35" s="3" t="s">
        <v>0</v>
      </c>
      <c r="B35" s="3" t="s">
        <v>1</v>
      </c>
      <c r="C35" s="3" t="s">
        <v>2</v>
      </c>
      <c r="D35" s="4" t="s">
        <v>3</v>
      </c>
      <c r="E35" s="5" t="s">
        <v>4</v>
      </c>
      <c r="F35" s="18" t="s">
        <v>117</v>
      </c>
      <c r="G35" s="19" t="s">
        <v>37</v>
      </c>
      <c r="H35" s="19" t="s">
        <v>6</v>
      </c>
      <c r="I35" s="19" t="s">
        <v>104</v>
      </c>
      <c r="J35" s="19"/>
      <c r="K35" s="19"/>
      <c r="L35" s="20"/>
      <c r="M35" s="21">
        <f>F34/30*7+H34/30*1+I34/60*13</f>
        <v>20.356967787114847</v>
      </c>
      <c r="N35" s="21">
        <f>F34/30*15+H34/30*15</f>
        <v>20.006002400960384</v>
      </c>
      <c r="O35" s="21">
        <f>G34/10*25+I34/60*5</f>
        <v>67.508012820512818</v>
      </c>
      <c r="P35" s="21">
        <f>F34/30*60+G34/10*45+H34/30*60+I34/60*75</f>
        <v>267.64420191153386</v>
      </c>
      <c r="R35" s="241" t="s">
        <v>115</v>
      </c>
      <c r="S35" s="238" t="s">
        <v>1</v>
      </c>
      <c r="T35" s="237">
        <f>B34</f>
        <v>250</v>
      </c>
      <c r="U35" s="238" t="s">
        <v>23</v>
      </c>
      <c r="V35" s="237">
        <f t="shared" ref="V35:V89" si="75">M35</f>
        <v>20.356967787114847</v>
      </c>
      <c r="W35" s="238" t="s">
        <v>24</v>
      </c>
      <c r="X35" s="237">
        <f t="shared" ref="X35" si="76">N35</f>
        <v>20.006002400960384</v>
      </c>
      <c r="Y35" s="238" t="s">
        <v>13</v>
      </c>
      <c r="Z35" s="237">
        <f t="shared" ref="Z35" si="77">O35</f>
        <v>67.508012820512818</v>
      </c>
      <c r="AA35" s="238" t="s">
        <v>4</v>
      </c>
      <c r="AB35" s="238">
        <f t="shared" ref="AB35" si="78">P35</f>
        <v>267.64420191153386</v>
      </c>
      <c r="AC35" s="239" t="str">
        <f>R35</f>
        <v>سوپ عدس</v>
      </c>
      <c r="AD35" s="26" t="s">
        <v>11</v>
      </c>
      <c r="AE35" s="27" t="s">
        <v>12</v>
      </c>
      <c r="AF35" s="28" t="s">
        <v>13</v>
      </c>
      <c r="AG35" s="29" t="s">
        <v>4</v>
      </c>
      <c r="BA35" s="21">
        <v>18</v>
      </c>
    </row>
    <row r="36" spans="1:53">
      <c r="A36" s="3" t="s">
        <v>118</v>
      </c>
      <c r="B36" s="3">
        <v>250</v>
      </c>
      <c r="C36" s="3" t="s">
        <v>22</v>
      </c>
      <c r="D36" s="4">
        <f t="shared" ref="D36" si="79">B36/250</f>
        <v>1</v>
      </c>
      <c r="E36" s="5">
        <f>B36/1.06</f>
        <v>235.84905660377356</v>
      </c>
      <c r="F36" s="18">
        <f>B36/8.33</f>
        <v>30.012004801920767</v>
      </c>
      <c r="G36" s="19">
        <f>B36/4.16</f>
        <v>60.096153846153847</v>
      </c>
      <c r="H36" s="19">
        <f>B36/8.33</f>
        <v>30.012004801920767</v>
      </c>
      <c r="I36" s="19">
        <f>B36/8.33</f>
        <v>30.012004801920767</v>
      </c>
      <c r="J36" s="19"/>
      <c r="K36" s="19"/>
      <c r="L36" s="20"/>
      <c r="M36" s="9" t="s">
        <v>11</v>
      </c>
      <c r="N36" s="9" t="s">
        <v>12</v>
      </c>
      <c r="O36" s="9" t="s">
        <v>13</v>
      </c>
      <c r="P36" s="9" t="s">
        <v>4</v>
      </c>
      <c r="R36" s="236"/>
      <c r="S36" s="232"/>
      <c r="T36" s="230"/>
      <c r="U36" s="232"/>
      <c r="V36" s="230"/>
      <c r="W36" s="232"/>
      <c r="X36" s="230"/>
      <c r="Y36" s="232"/>
      <c r="Z36" s="230"/>
      <c r="AA36" s="232"/>
      <c r="AB36" s="232"/>
      <c r="AC36" s="234"/>
      <c r="AD36" s="26">
        <f>VLOOKUP(AC37,R37:AB38,5,0)</f>
        <v>23.024834933973587</v>
      </c>
      <c r="AE36" s="27">
        <f>VLOOKUP(AC37,R37:AB38,7,0)</f>
        <v>32.012805122048817</v>
      </c>
      <c r="AF36" s="28">
        <f>VLOOKUP(AC37,R37:AB38,9,0)</f>
        <v>15.018026441345768</v>
      </c>
      <c r="AG36" s="29">
        <f>VLOOKUP(AC37,R37:AB38,11,0)</f>
        <v>260.17017383876629</v>
      </c>
      <c r="BA36" s="21">
        <v>19</v>
      </c>
    </row>
    <row r="37" spans="1:53">
      <c r="A37" s="103" t="s">
        <v>0</v>
      </c>
      <c r="B37" s="103" t="s">
        <v>119</v>
      </c>
      <c r="C37" s="103" t="s">
        <v>2</v>
      </c>
      <c r="D37" s="104" t="s">
        <v>3</v>
      </c>
      <c r="E37" s="105" t="s">
        <v>4</v>
      </c>
      <c r="F37" s="106" t="s">
        <v>120</v>
      </c>
      <c r="G37" s="107" t="s">
        <v>63</v>
      </c>
      <c r="H37" s="107" t="s">
        <v>51</v>
      </c>
      <c r="I37" s="107"/>
      <c r="J37" s="107"/>
      <c r="K37" s="107"/>
      <c r="L37" s="108"/>
      <c r="M37" s="21">
        <f>F36/30*1+G36/60*13+H36/30*1+I36/30*8</f>
        <v>23.024834933973587</v>
      </c>
      <c r="N37" s="21">
        <f>F36/30*5+H36/30*15+I36/30*12</f>
        <v>32.012805122048817</v>
      </c>
      <c r="O37" s="21">
        <f>I36/30*5+G36/30*5</f>
        <v>15.018026441345768</v>
      </c>
      <c r="P37" s="21">
        <f>I36/30*120+H36/30*60+G36/60*55+F36/30*25</f>
        <v>260.17017383876629</v>
      </c>
      <c r="R37" s="241" t="s">
        <v>118</v>
      </c>
      <c r="S37" s="238" t="s">
        <v>1</v>
      </c>
      <c r="T37" s="237">
        <f>B36</f>
        <v>250</v>
      </c>
      <c r="U37" s="238" t="s">
        <v>23</v>
      </c>
      <c r="V37" s="237">
        <f t="shared" ref="V37:V91" si="80">M37</f>
        <v>23.024834933973587</v>
      </c>
      <c r="W37" s="238" t="s">
        <v>24</v>
      </c>
      <c r="X37" s="237">
        <f t="shared" ref="X37" si="81">N37</f>
        <v>32.012805122048817</v>
      </c>
      <c r="Y37" s="238" t="s">
        <v>13</v>
      </c>
      <c r="Z37" s="237">
        <f t="shared" si="42"/>
        <v>15.018026441345768</v>
      </c>
      <c r="AA37" s="238" t="s">
        <v>4</v>
      </c>
      <c r="AB37" s="238">
        <f t="shared" ref="AB37" si="82">P37</f>
        <v>260.17017383876629</v>
      </c>
      <c r="AC37" s="239" t="str">
        <f>R37</f>
        <v>سوپ گل کلم</v>
      </c>
      <c r="AD37" s="26" t="s">
        <v>11</v>
      </c>
      <c r="AE37" s="27" t="s">
        <v>12</v>
      </c>
      <c r="AF37" s="28" t="s">
        <v>13</v>
      </c>
      <c r="AG37" s="29" t="s">
        <v>4</v>
      </c>
      <c r="BA37" s="21">
        <v>20</v>
      </c>
    </row>
    <row r="38" spans="1:53">
      <c r="A38" s="103" t="s">
        <v>121</v>
      </c>
      <c r="B38" s="103">
        <v>100</v>
      </c>
      <c r="C38" s="103" t="s">
        <v>86</v>
      </c>
      <c r="D38" s="104">
        <f>100/10</f>
        <v>10</v>
      </c>
      <c r="E38" s="105">
        <f>B38/0.91</f>
        <v>109.89010989010988</v>
      </c>
      <c r="F38" s="106">
        <v>10</v>
      </c>
      <c r="G38" s="107">
        <f>B38/1.42</f>
        <v>70.422535211267615</v>
      </c>
      <c r="H38" s="107">
        <f>B38/10</f>
        <v>10</v>
      </c>
      <c r="I38" s="107"/>
      <c r="J38" s="107"/>
      <c r="K38" s="107"/>
      <c r="L38" s="108"/>
      <c r="M38" s="9" t="s">
        <v>11</v>
      </c>
      <c r="N38" s="9" t="s">
        <v>12</v>
      </c>
      <c r="O38" s="9" t="s">
        <v>13</v>
      </c>
      <c r="P38" s="9" t="s">
        <v>4</v>
      </c>
      <c r="R38" s="236"/>
      <c r="S38" s="232"/>
      <c r="T38" s="230"/>
      <c r="U38" s="232"/>
      <c r="V38" s="230"/>
      <c r="W38" s="232"/>
      <c r="X38" s="230"/>
      <c r="Y38" s="232"/>
      <c r="Z38" s="230"/>
      <c r="AA38" s="232"/>
      <c r="AB38" s="232"/>
      <c r="AC38" s="234"/>
      <c r="AD38" s="26">
        <f>VLOOKUP(AC39,R39:AB40,5,0)</f>
        <v>2.347417840375587</v>
      </c>
      <c r="AE38" s="27">
        <f>VLOOKUP(AC39,R39:AB40,7,0)</f>
        <v>35.211267605633807</v>
      </c>
      <c r="AF38" s="28">
        <f>VLOOKUP(AC39,R39:AB40,9,0)</f>
        <v>5</v>
      </c>
      <c r="AG38" s="29">
        <f>VLOOKUP(AC39,R39:AB40,11,0)</f>
        <v>185.84507042253523</v>
      </c>
    </row>
    <row r="39" spans="1:53">
      <c r="A39" s="103" t="s">
        <v>0</v>
      </c>
      <c r="B39" s="103" t="s">
        <v>1</v>
      </c>
      <c r="C39" s="103" t="s">
        <v>2</v>
      </c>
      <c r="D39" s="104" t="s">
        <v>3</v>
      </c>
      <c r="E39" s="105" t="s">
        <v>4</v>
      </c>
      <c r="F39" s="106" t="s">
        <v>122</v>
      </c>
      <c r="G39" s="107" t="s">
        <v>63</v>
      </c>
      <c r="H39" s="107" t="s">
        <v>51</v>
      </c>
      <c r="I39" s="107"/>
      <c r="J39" s="107"/>
      <c r="K39" s="107"/>
      <c r="L39" s="108"/>
      <c r="M39" s="21">
        <f>G38/30*1</f>
        <v>2.347417840375587</v>
      </c>
      <c r="N39" s="21">
        <f>G38/30*15</f>
        <v>35.211267605633807</v>
      </c>
      <c r="O39" s="21">
        <f>H38/10*5</f>
        <v>5</v>
      </c>
      <c r="P39" s="21">
        <f>H38/10*45+G38/30*60</f>
        <v>185.84507042253523</v>
      </c>
      <c r="R39" s="241" t="s">
        <v>121</v>
      </c>
      <c r="S39" s="238" t="s">
        <v>1</v>
      </c>
      <c r="T39" s="237">
        <f>B38</f>
        <v>100</v>
      </c>
      <c r="U39" s="238" t="s">
        <v>23</v>
      </c>
      <c r="V39" s="237">
        <f t="shared" ref="V39" si="83">M39</f>
        <v>2.347417840375587</v>
      </c>
      <c r="W39" s="238" t="s">
        <v>24</v>
      </c>
      <c r="X39" s="237">
        <f t="shared" ref="X39" si="84">N39</f>
        <v>35.211267605633807</v>
      </c>
      <c r="Y39" s="238" t="s">
        <v>13</v>
      </c>
      <c r="Z39" s="237">
        <f t="shared" si="47"/>
        <v>5</v>
      </c>
      <c r="AA39" s="238" t="s">
        <v>4</v>
      </c>
      <c r="AB39" s="238">
        <f t="shared" ref="AB39" si="85">P39</f>
        <v>185.84507042253523</v>
      </c>
      <c r="AC39" s="239" t="str">
        <f>R39</f>
        <v>برنج سفید ( کته)+ فیبر</v>
      </c>
      <c r="AD39" s="26" t="s">
        <v>11</v>
      </c>
      <c r="AE39" s="27" t="s">
        <v>12</v>
      </c>
      <c r="AF39" s="28" t="s">
        <v>13</v>
      </c>
      <c r="AG39" s="29" t="s">
        <v>4</v>
      </c>
    </row>
    <row r="40" spans="1:53">
      <c r="A40" s="103" t="s">
        <v>123</v>
      </c>
      <c r="B40" s="103">
        <v>100</v>
      </c>
      <c r="C40" s="103" t="s">
        <v>86</v>
      </c>
      <c r="D40" s="104">
        <f t="shared" ref="D40" si="86">100/10</f>
        <v>10</v>
      </c>
      <c r="E40" s="105">
        <f>B40/1</f>
        <v>100</v>
      </c>
      <c r="F40" s="106">
        <f>B40/10</f>
        <v>10</v>
      </c>
      <c r="G40" s="107">
        <f>B38/1.42</f>
        <v>70.422535211267615</v>
      </c>
      <c r="H40" s="107">
        <f>B40/10</f>
        <v>10</v>
      </c>
      <c r="I40" s="107"/>
      <c r="J40" s="107"/>
      <c r="K40" s="107"/>
      <c r="L40" s="108"/>
      <c r="M40" s="9" t="s">
        <v>11</v>
      </c>
      <c r="N40" s="9" t="s">
        <v>12</v>
      </c>
      <c r="O40" s="9" t="s">
        <v>13</v>
      </c>
      <c r="P40" s="9" t="s">
        <v>4</v>
      </c>
      <c r="R40" s="236"/>
      <c r="S40" s="232"/>
      <c r="T40" s="230"/>
      <c r="U40" s="232"/>
      <c r="V40" s="230"/>
      <c r="W40" s="232"/>
      <c r="X40" s="230"/>
      <c r="Y40" s="232"/>
      <c r="Z40" s="230"/>
      <c r="AA40" s="232"/>
      <c r="AB40" s="232"/>
      <c r="AC40" s="234"/>
      <c r="AD40" s="26">
        <f>VLOOKUP(AC41,R41:AB42,5,0)</f>
        <v>2.347417840375587</v>
      </c>
      <c r="AE40" s="27">
        <f>VLOOKUP(AC41,R41:AB42,7,0)</f>
        <v>35.211267605633807</v>
      </c>
      <c r="AF40" s="28">
        <f>VLOOKUP(AC41,R41:AB42,9,0)</f>
        <v>5</v>
      </c>
      <c r="AG40" s="29">
        <f>VLOOKUP(AC41,R41:AB42,11,0)</f>
        <v>185.84507042253523</v>
      </c>
    </row>
    <row r="41" spans="1:53">
      <c r="A41" s="103" t="s">
        <v>0</v>
      </c>
      <c r="B41" s="103" t="s">
        <v>1</v>
      </c>
      <c r="C41" s="103" t="s">
        <v>2</v>
      </c>
      <c r="D41" s="104" t="s">
        <v>3</v>
      </c>
      <c r="E41" s="105" t="s">
        <v>4</v>
      </c>
      <c r="F41" s="106" t="s">
        <v>122</v>
      </c>
      <c r="G41" s="107" t="s">
        <v>63</v>
      </c>
      <c r="H41" s="107" t="s">
        <v>124</v>
      </c>
      <c r="I41" s="107" t="s">
        <v>125</v>
      </c>
      <c r="J41" s="107" t="s">
        <v>51</v>
      </c>
      <c r="K41" s="107"/>
      <c r="L41" s="108"/>
      <c r="M41" s="21">
        <f>G40/30*1</f>
        <v>2.347417840375587</v>
      </c>
      <c r="N41" s="21">
        <f>G40/30*15</f>
        <v>35.211267605633807</v>
      </c>
      <c r="O41" s="21">
        <f>H40/10*5</f>
        <v>5</v>
      </c>
      <c r="P41" s="21">
        <f>G40/30*60+H40/10*45</f>
        <v>185.84507042253523</v>
      </c>
      <c r="R41" s="241" t="s">
        <v>121</v>
      </c>
      <c r="S41" s="238" t="s">
        <v>1</v>
      </c>
      <c r="T41" s="237">
        <f>B40</f>
        <v>100</v>
      </c>
      <c r="U41" s="238" t="s">
        <v>23</v>
      </c>
      <c r="V41" s="237">
        <f t="shared" si="45"/>
        <v>2.347417840375587</v>
      </c>
      <c r="W41" s="238" t="s">
        <v>24</v>
      </c>
      <c r="X41" s="237">
        <f t="shared" ref="X41" si="87">N41</f>
        <v>35.211267605633807</v>
      </c>
      <c r="Y41" s="238" t="s">
        <v>13</v>
      </c>
      <c r="Z41" s="237">
        <f t="shared" si="52"/>
        <v>5</v>
      </c>
      <c r="AA41" s="238" t="s">
        <v>4</v>
      </c>
      <c r="AB41" s="238">
        <f t="shared" ref="AB41" si="88">P41</f>
        <v>185.84507042253523</v>
      </c>
      <c r="AC41" s="239" t="str">
        <f>R41</f>
        <v>برنج سفید ( کته)+ فیبر</v>
      </c>
      <c r="AD41" s="26" t="s">
        <v>11</v>
      </c>
      <c r="AE41" s="27" t="s">
        <v>12</v>
      </c>
      <c r="AF41" s="28" t="s">
        <v>13</v>
      </c>
      <c r="AG41" s="29" t="s">
        <v>4</v>
      </c>
    </row>
    <row r="42" spans="1:53">
      <c r="A42" s="103" t="s">
        <v>126</v>
      </c>
      <c r="B42" s="103">
        <v>100</v>
      </c>
      <c r="C42" s="103" t="s">
        <v>86</v>
      </c>
      <c r="D42" s="104">
        <f t="shared" ref="D42" si="89">100/10</f>
        <v>10</v>
      </c>
      <c r="E42" s="105">
        <f>B42/0.72</f>
        <v>138.88888888888889</v>
      </c>
      <c r="F42" s="106">
        <f>B42/10</f>
        <v>10</v>
      </c>
      <c r="G42" s="107">
        <f>B42/1.42</f>
        <v>70.422535211267615</v>
      </c>
      <c r="H42" s="107">
        <f>B42/5</f>
        <v>20</v>
      </c>
      <c r="I42" s="107">
        <f xml:space="preserve"> B42/10</f>
        <v>10</v>
      </c>
      <c r="J42" s="107">
        <f>B42/10</f>
        <v>10</v>
      </c>
      <c r="K42" s="107"/>
      <c r="L42" s="108"/>
      <c r="M42" s="9" t="s">
        <v>11</v>
      </c>
      <c r="N42" s="9" t="s">
        <v>12</v>
      </c>
      <c r="O42" s="9" t="s">
        <v>13</v>
      </c>
      <c r="P42" s="9" t="s">
        <v>4</v>
      </c>
      <c r="R42" s="236"/>
      <c r="S42" s="232"/>
      <c r="T42" s="230"/>
      <c r="U42" s="232"/>
      <c r="V42" s="230"/>
      <c r="W42" s="232"/>
      <c r="X42" s="230"/>
      <c r="Y42" s="232"/>
      <c r="Z42" s="230"/>
      <c r="AA42" s="232"/>
      <c r="AB42" s="232"/>
      <c r="AC42" s="234"/>
      <c r="AD42" s="26">
        <f>VLOOKUP(AC43,R43:AB44,5,0)</f>
        <v>3.347417840375587</v>
      </c>
      <c r="AE42" s="27">
        <f>VLOOKUP(AC43,R43:AB44,7,0)</f>
        <v>40.211267605633807</v>
      </c>
      <c r="AF42" s="28">
        <f>VLOOKUP(AC43,R43:AB44,9,0)</f>
        <v>5</v>
      </c>
      <c r="AG42" s="29">
        <f>VLOOKUP(AC43,R43:AB44,11,0)</f>
        <v>210.84507042253523</v>
      </c>
    </row>
    <row r="43" spans="1:53">
      <c r="A43" s="103" t="s">
        <v>0</v>
      </c>
      <c r="B43" s="103" t="s">
        <v>1</v>
      </c>
      <c r="C43" s="103" t="s">
        <v>2</v>
      </c>
      <c r="D43" s="104" t="s">
        <v>3</v>
      </c>
      <c r="E43" s="105" t="s">
        <v>4</v>
      </c>
      <c r="F43" s="106" t="s">
        <v>122</v>
      </c>
      <c r="G43" s="107" t="s">
        <v>127</v>
      </c>
      <c r="H43" s="107" t="s">
        <v>26</v>
      </c>
      <c r="I43" s="107" t="s">
        <v>95</v>
      </c>
      <c r="J43" s="107" t="s">
        <v>128</v>
      </c>
      <c r="K43" s="107"/>
      <c r="L43" s="108"/>
      <c r="M43" s="21">
        <f>G42/30*1+H42/30*1+I42/30*1</f>
        <v>3.347417840375587</v>
      </c>
      <c r="N43" s="21">
        <f>G42/30*15+H42/30*5+I42/30*5</f>
        <v>40.211267605633807</v>
      </c>
      <c r="O43" s="21">
        <f>J42/10*5</f>
        <v>5</v>
      </c>
      <c r="P43" s="21">
        <f>G42/30*60+H42/30*25+I42/30*25+J42/10*45</f>
        <v>210.84507042253523</v>
      </c>
      <c r="R43" s="241" t="str">
        <f>A42</f>
        <v>باقلا پلو</v>
      </c>
      <c r="S43" s="238" t="s">
        <v>1</v>
      </c>
      <c r="T43" s="237">
        <f>B42</f>
        <v>100</v>
      </c>
      <c r="U43" s="238" t="s">
        <v>23</v>
      </c>
      <c r="V43" s="237">
        <f t="shared" si="50"/>
        <v>3.347417840375587</v>
      </c>
      <c r="W43" s="238" t="s">
        <v>24</v>
      </c>
      <c r="X43" s="237">
        <f t="shared" ref="X43" si="90">N43</f>
        <v>40.211267605633807</v>
      </c>
      <c r="Y43" s="238" t="s">
        <v>13</v>
      </c>
      <c r="Z43" s="237">
        <f t="shared" si="57"/>
        <v>5</v>
      </c>
      <c r="AA43" s="238" t="s">
        <v>4</v>
      </c>
      <c r="AB43" s="238">
        <f t="shared" ref="AB43" si="91">P43</f>
        <v>210.84507042253523</v>
      </c>
      <c r="AC43" s="239" t="str">
        <f>R43</f>
        <v>باقلا پلو</v>
      </c>
      <c r="AD43" s="26" t="s">
        <v>11</v>
      </c>
      <c r="AE43" s="27" t="s">
        <v>12</v>
      </c>
      <c r="AF43" s="28" t="s">
        <v>13</v>
      </c>
      <c r="AG43" s="29" t="s">
        <v>4</v>
      </c>
    </row>
    <row r="44" spans="1:53">
      <c r="A44" s="103" t="s">
        <v>129</v>
      </c>
      <c r="B44" s="103">
        <v>250</v>
      </c>
      <c r="C44" s="103" t="s">
        <v>86</v>
      </c>
      <c r="D44" s="104">
        <f t="shared" ref="D44" si="92">100/10</f>
        <v>10</v>
      </c>
      <c r="E44" s="105">
        <f>B44/0.68</f>
        <v>367.64705882352939</v>
      </c>
      <c r="F44" s="106">
        <v>10</v>
      </c>
      <c r="G44" s="107">
        <f>B44/3.57</f>
        <v>70.0280112044818</v>
      </c>
      <c r="H44" s="107">
        <f>B44/2.08</f>
        <v>120.19230769230769</v>
      </c>
      <c r="I44" s="107">
        <f>B44/4.16</f>
        <v>60.096153846153847</v>
      </c>
      <c r="J44" s="107"/>
      <c r="K44" s="107"/>
      <c r="L44" s="108"/>
      <c r="M44" s="9" t="s">
        <v>11</v>
      </c>
      <c r="N44" s="9" t="s">
        <v>12</v>
      </c>
      <c r="O44" s="9" t="s">
        <v>13</v>
      </c>
      <c r="P44" s="9" t="s">
        <v>4</v>
      </c>
      <c r="R44" s="236"/>
      <c r="S44" s="232"/>
      <c r="T44" s="230"/>
      <c r="U44" s="232"/>
      <c r="V44" s="230"/>
      <c r="W44" s="232"/>
      <c r="X44" s="230"/>
      <c r="Y44" s="232"/>
      <c r="Z44" s="230"/>
      <c r="AA44" s="232"/>
      <c r="AB44" s="232"/>
      <c r="AC44" s="234"/>
      <c r="AD44" s="26">
        <f>VLOOKUP(AC45,R45:AB46,5,0)</f>
        <v>46.404779860662217</v>
      </c>
      <c r="AE44" s="27">
        <f>VLOOKUP(AC45,R45:AB46,7,0)</f>
        <v>59.05246714070244</v>
      </c>
      <c r="AF44" s="28">
        <f>VLOOKUP(AC45,R45:AB46,9,0)</f>
        <v>30.04807692307692</v>
      </c>
      <c r="AG44" s="29">
        <f>VLOOKUP(AC45,R45:AB46,11,0)</f>
        <v>600.79320189614305</v>
      </c>
    </row>
    <row r="45" spans="1:53">
      <c r="A45" s="103" t="s">
        <v>0</v>
      </c>
      <c r="B45" s="103" t="s">
        <v>1</v>
      </c>
      <c r="C45" s="103" t="s">
        <v>2</v>
      </c>
      <c r="D45" s="104" t="s">
        <v>3</v>
      </c>
      <c r="E45" s="105" t="s">
        <v>4</v>
      </c>
      <c r="F45" s="106" t="s">
        <v>63</v>
      </c>
      <c r="G45" s="107" t="s">
        <v>54</v>
      </c>
      <c r="H45" s="107" t="s">
        <v>6</v>
      </c>
      <c r="I45" s="107" t="s">
        <v>130</v>
      </c>
      <c r="J45" s="107" t="s">
        <v>51</v>
      </c>
      <c r="K45" s="107"/>
      <c r="L45" s="108"/>
      <c r="M45" s="21">
        <f>[1]Sheet2!G44/30*1+[1]Sheet2!H44/30*7+[1]Sheet2!I44/30*8</f>
        <v>46.404779860662217</v>
      </c>
      <c r="N45" s="21">
        <f>G44/30*15+I44/30*12</f>
        <v>59.05246714070244</v>
      </c>
      <c r="O45" s="21">
        <f>H44/30*5+I44/30*5</f>
        <v>30.04807692307692</v>
      </c>
      <c r="P45" s="21">
        <f>G44/30*60+H44/30*55+I44/30*120</f>
        <v>600.79320189614305</v>
      </c>
      <c r="R45" s="241" t="str">
        <f>A44</f>
        <v>ته چین مرغ</v>
      </c>
      <c r="S45" s="238" t="s">
        <v>1</v>
      </c>
      <c r="T45" s="237">
        <f>B44</f>
        <v>250</v>
      </c>
      <c r="U45" s="238" t="s">
        <v>23</v>
      </c>
      <c r="V45" s="237">
        <f t="shared" si="55"/>
        <v>46.404779860662217</v>
      </c>
      <c r="W45" s="238" t="s">
        <v>24</v>
      </c>
      <c r="X45" s="237">
        <f t="shared" ref="X45" si="93">N45</f>
        <v>59.05246714070244</v>
      </c>
      <c r="Y45" s="238" t="s">
        <v>13</v>
      </c>
      <c r="Z45" s="237">
        <f t="shared" si="62"/>
        <v>30.04807692307692</v>
      </c>
      <c r="AA45" s="238" t="s">
        <v>4</v>
      </c>
      <c r="AB45" s="238">
        <f t="shared" ref="AB45" si="94">P45</f>
        <v>600.79320189614305</v>
      </c>
      <c r="AC45" s="239" t="str">
        <f>R45</f>
        <v>ته چین مرغ</v>
      </c>
      <c r="AD45" s="26" t="s">
        <v>11</v>
      </c>
      <c r="AE45" s="27" t="s">
        <v>12</v>
      </c>
      <c r="AF45" s="28" t="s">
        <v>13</v>
      </c>
      <c r="AG45" s="29" t="s">
        <v>4</v>
      </c>
    </row>
    <row r="46" spans="1:53">
      <c r="A46" s="103" t="s">
        <v>131</v>
      </c>
      <c r="B46" s="103">
        <v>150</v>
      </c>
      <c r="C46" s="103" t="s">
        <v>86</v>
      </c>
      <c r="D46" s="104">
        <f t="shared" ref="D46" si="95">100/10</f>
        <v>10</v>
      </c>
      <c r="E46" s="105">
        <f>B46/0.526</f>
        <v>285.17110266159693</v>
      </c>
      <c r="F46" s="106">
        <f>B46/2.14</f>
        <v>70.09345794392523</v>
      </c>
      <c r="G46" s="107">
        <f>B46/5</f>
        <v>30</v>
      </c>
      <c r="H46" s="107">
        <f>B46/5</f>
        <v>30</v>
      </c>
      <c r="I46" s="107">
        <f>B46/7.5</f>
        <v>20</v>
      </c>
      <c r="J46" s="107">
        <f>B46/7.5</f>
        <v>20</v>
      </c>
      <c r="K46" s="107"/>
      <c r="L46" s="108"/>
      <c r="M46" s="9" t="s">
        <v>11</v>
      </c>
      <c r="N46" s="9" t="s">
        <v>12</v>
      </c>
      <c r="O46" s="9" t="s">
        <v>13</v>
      </c>
      <c r="P46" s="9" t="s">
        <v>4</v>
      </c>
      <c r="R46" s="236"/>
      <c r="S46" s="232"/>
      <c r="T46" s="230"/>
      <c r="U46" s="232"/>
      <c r="V46" s="230"/>
      <c r="W46" s="232"/>
      <c r="X46" s="230"/>
      <c r="Y46" s="232"/>
      <c r="Z46" s="230"/>
      <c r="AA46" s="232"/>
      <c r="AB46" s="232"/>
      <c r="AC46" s="234"/>
      <c r="AD46" s="26">
        <f>VLOOKUP(AC47,R47:AB48,5,0)</f>
        <v>10.336448598130842</v>
      </c>
      <c r="AE46" s="27">
        <f>VLOOKUP(AC47,R47:AB48,7,0)</f>
        <v>53.380062305295951</v>
      </c>
      <c r="AF46" s="28">
        <f>VLOOKUP(AC47,R47:AB48,9,0)</f>
        <v>15</v>
      </c>
      <c r="AG46" s="29">
        <f>VLOOKUP(AC47,R47:AB48,11,0)</f>
        <v>351.85358255451712</v>
      </c>
    </row>
    <row r="47" spans="1:53">
      <c r="A47" s="103" t="s">
        <v>0</v>
      </c>
      <c r="B47" s="103" t="s">
        <v>1</v>
      </c>
      <c r="C47" s="103" t="s">
        <v>2</v>
      </c>
      <c r="D47" s="104" t="s">
        <v>3</v>
      </c>
      <c r="E47" s="105" t="s">
        <v>4</v>
      </c>
      <c r="F47" s="106" t="s">
        <v>63</v>
      </c>
      <c r="G47" s="107" t="s">
        <v>132</v>
      </c>
      <c r="H47" s="107" t="s">
        <v>5</v>
      </c>
      <c r="I47" s="107" t="s">
        <v>133</v>
      </c>
      <c r="J47" s="107" t="s">
        <v>47</v>
      </c>
      <c r="K47" s="107" t="s">
        <v>51</v>
      </c>
      <c r="L47" s="108"/>
      <c r="M47" s="21">
        <f>F46/30*1+G46/30*7+H46/30*1</f>
        <v>10.336448598130842</v>
      </c>
      <c r="N47" s="21">
        <f>F46/30*15+H46/30*15+I46/30*5</f>
        <v>53.380062305295951</v>
      </c>
      <c r="O47" s="21">
        <f>G46/30*5+J46/10*5</f>
        <v>15</v>
      </c>
      <c r="P47" s="21">
        <f>F46/30*60+G46/30*75+H46/30*30+I46/30*25+J46/10*45</f>
        <v>351.85358255451712</v>
      </c>
      <c r="R47" s="241" t="str">
        <f>A46</f>
        <v xml:space="preserve">کته گوجه </v>
      </c>
      <c r="S47" s="238" t="s">
        <v>1</v>
      </c>
      <c r="T47" s="237">
        <f>B46</f>
        <v>150</v>
      </c>
      <c r="U47" s="238" t="s">
        <v>23</v>
      </c>
      <c r="V47" s="237">
        <f t="shared" si="60"/>
        <v>10.336448598130842</v>
      </c>
      <c r="W47" s="238" t="s">
        <v>24</v>
      </c>
      <c r="X47" s="237">
        <f t="shared" ref="X47" si="96">N47</f>
        <v>53.380062305295951</v>
      </c>
      <c r="Y47" s="238" t="s">
        <v>13</v>
      </c>
      <c r="Z47" s="237">
        <f t="shared" si="67"/>
        <v>15</v>
      </c>
      <c r="AA47" s="238" t="s">
        <v>4</v>
      </c>
      <c r="AB47" s="238">
        <f t="shared" ref="AB47" si="97">P47</f>
        <v>351.85358255451712</v>
      </c>
      <c r="AC47" s="239" t="str">
        <f>R47</f>
        <v xml:space="preserve">کته گوجه </v>
      </c>
      <c r="AD47" s="26" t="s">
        <v>11</v>
      </c>
      <c r="AE47" s="27" t="s">
        <v>12</v>
      </c>
      <c r="AF47" s="28" t="s">
        <v>13</v>
      </c>
      <c r="AG47" s="29" t="s">
        <v>4</v>
      </c>
    </row>
    <row r="48" spans="1:53">
      <c r="A48" s="103" t="s">
        <v>134</v>
      </c>
      <c r="B48" s="103">
        <v>100</v>
      </c>
      <c r="C48" s="103" t="s">
        <v>86</v>
      </c>
      <c r="D48" s="104">
        <f t="shared" ref="D48" si="98">100/10</f>
        <v>10</v>
      </c>
      <c r="E48" s="105">
        <f>B48/0.35</f>
        <v>285.71428571428572</v>
      </c>
      <c r="F48" s="106">
        <f>B48/1.428</f>
        <v>70.0280112044818</v>
      </c>
      <c r="G48" s="107">
        <f>B48/5</f>
        <v>20</v>
      </c>
      <c r="H48" s="107">
        <f>B48/3.33333</f>
        <v>30.000030000029998</v>
      </c>
      <c r="I48" s="107">
        <f>B48/10</f>
        <v>10</v>
      </c>
      <c r="J48" s="107">
        <f>B48/3.33</f>
        <v>30.03003003003003</v>
      </c>
      <c r="K48" s="107">
        <v>10</v>
      </c>
      <c r="L48" s="108"/>
      <c r="M48" s="9" t="s">
        <v>11</v>
      </c>
      <c r="N48" s="9" t="s">
        <v>12</v>
      </c>
      <c r="O48" s="9" t="s">
        <v>13</v>
      </c>
      <c r="P48" s="9" t="s">
        <v>4</v>
      </c>
      <c r="R48" s="236"/>
      <c r="S48" s="232"/>
      <c r="T48" s="230"/>
      <c r="U48" s="232"/>
      <c r="V48" s="230"/>
      <c r="W48" s="232"/>
      <c r="X48" s="230"/>
      <c r="Y48" s="232"/>
      <c r="Z48" s="230"/>
      <c r="AA48" s="232"/>
      <c r="AB48" s="232"/>
      <c r="AC48" s="234"/>
      <c r="AD48" s="26">
        <f>VLOOKUP(AC49,R49:AB50,5,0)</f>
        <v>10.000940706823059</v>
      </c>
      <c r="AE48" s="27">
        <f>VLOOKUP(AC49,R49:AB50,7,0)</f>
        <v>55.019015607250907</v>
      </c>
      <c r="AF48" s="28">
        <f>VLOOKUP(AC49,R49:AB50,9,0)</f>
        <v>5.0000050000050003</v>
      </c>
      <c r="AG48" s="29">
        <f>VLOOKUP(AC49,R49:AB50,11,0)</f>
        <v>290.08112243406362</v>
      </c>
    </row>
    <row r="49" spans="1:33">
      <c r="A49" s="103" t="s">
        <v>0</v>
      </c>
      <c r="B49" s="103" t="s">
        <v>1</v>
      </c>
      <c r="C49" s="103" t="s">
        <v>2</v>
      </c>
      <c r="D49" s="104" t="s">
        <v>3</v>
      </c>
      <c r="E49" s="105" t="s">
        <v>4</v>
      </c>
      <c r="F49" s="106" t="s">
        <v>63</v>
      </c>
      <c r="G49" s="107" t="s">
        <v>135</v>
      </c>
      <c r="H49" s="107" t="s">
        <v>51</v>
      </c>
      <c r="I49" s="107" t="s">
        <v>26</v>
      </c>
      <c r="J49" s="107"/>
      <c r="K49" s="107"/>
      <c r="L49" s="108"/>
      <c r="M49" s="21">
        <f>F48/30*1+G48/30*1+H48/30*7</f>
        <v>10.000940706823059</v>
      </c>
      <c r="N49" s="21">
        <f>F48/30*15+G48/30*15+J48/30*5+H48/30*5</f>
        <v>55.019015607250907</v>
      </c>
      <c r="O49" s="21">
        <f>H48/30*5</f>
        <v>5.0000050000050003</v>
      </c>
      <c r="P49" s="21">
        <f>J48/30*25+I48/30*30+H48/30*75+G48/30*60+F48/30*60</f>
        <v>290.08112243406362</v>
      </c>
      <c r="R49" s="241" t="str">
        <f>A48</f>
        <v>رشته پلو</v>
      </c>
      <c r="S49" s="238" t="s">
        <v>1</v>
      </c>
      <c r="T49" s="237">
        <f>B48</f>
        <v>100</v>
      </c>
      <c r="U49" s="238" t="s">
        <v>23</v>
      </c>
      <c r="V49" s="237">
        <f t="shared" si="65"/>
        <v>10.000940706823059</v>
      </c>
      <c r="W49" s="238" t="s">
        <v>24</v>
      </c>
      <c r="X49" s="237">
        <f t="shared" ref="X49" si="99">N49</f>
        <v>55.019015607250907</v>
      </c>
      <c r="Y49" s="238" t="s">
        <v>13</v>
      </c>
      <c r="Z49" s="237">
        <f t="shared" si="72"/>
        <v>5.0000050000050003</v>
      </c>
      <c r="AA49" s="238" t="s">
        <v>4</v>
      </c>
      <c r="AB49" s="238">
        <f t="shared" ref="AB49" si="100">P49</f>
        <v>290.08112243406362</v>
      </c>
      <c r="AC49" s="239" t="str">
        <f>R49</f>
        <v>رشته پلو</v>
      </c>
      <c r="AD49" s="26" t="s">
        <v>11</v>
      </c>
      <c r="AE49" s="27" t="s">
        <v>12</v>
      </c>
      <c r="AF49" s="28" t="s">
        <v>13</v>
      </c>
      <c r="AG49" s="29" t="s">
        <v>4</v>
      </c>
    </row>
    <row r="50" spans="1:33">
      <c r="A50" s="103" t="s">
        <v>135</v>
      </c>
      <c r="B50" s="103">
        <v>100</v>
      </c>
      <c r="C50" s="103" t="s">
        <v>86</v>
      </c>
      <c r="D50" s="104">
        <f t="shared" ref="D50" si="101">100/10</f>
        <v>10</v>
      </c>
      <c r="E50" s="105">
        <f>B50/0.9</f>
        <v>111.11111111111111</v>
      </c>
      <c r="F50" s="106">
        <f>B48/1.428</f>
        <v>70.0280112044818</v>
      </c>
      <c r="G50" s="107">
        <f>B50/3.333</f>
        <v>30.003000300030003</v>
      </c>
      <c r="H50" s="107">
        <f>B50/10</f>
        <v>10</v>
      </c>
      <c r="I50" s="107">
        <f>B50/0.83</f>
        <v>120.48192771084338</v>
      </c>
      <c r="J50" s="107"/>
      <c r="K50" s="107"/>
      <c r="L50" s="108"/>
      <c r="M50" s="9" t="s">
        <v>11</v>
      </c>
      <c r="N50" s="9" t="s">
        <v>12</v>
      </c>
      <c r="O50" s="9" t="s">
        <v>13</v>
      </c>
      <c r="P50" s="9" t="s">
        <v>4</v>
      </c>
      <c r="R50" s="236"/>
      <c r="S50" s="232"/>
      <c r="T50" s="230"/>
      <c r="U50" s="232"/>
      <c r="V50" s="230"/>
      <c r="W50" s="232"/>
      <c r="X50" s="230"/>
      <c r="Y50" s="232"/>
      <c r="Z50" s="230"/>
      <c r="AA50" s="232"/>
      <c r="AB50" s="232"/>
      <c r="AC50" s="234"/>
      <c r="AD50" s="26">
        <f>VLOOKUP(AC51,R51:AB52,5,0)</f>
        <v>31.446816849347183</v>
      </c>
      <c r="AE50" s="27">
        <f>VLOOKUP(AC51,R51:AB52,7,0)</f>
        <v>40.014505652245902</v>
      </c>
      <c r="AF50" s="28">
        <f>VLOOKUP(AC51,R51:AB52,9,0)</f>
        <v>25.080321285140563</v>
      </c>
      <c r="AG50" s="29">
        <f>VLOOKUP(AC51,R51:AB52,11,0)</f>
        <v>290.92493883724035</v>
      </c>
    </row>
    <row r="51" spans="1:33">
      <c r="A51" s="103" t="s">
        <v>0</v>
      </c>
      <c r="B51" s="103" t="s">
        <v>1</v>
      </c>
      <c r="C51" s="103" t="s">
        <v>2</v>
      </c>
      <c r="D51" s="104" t="s">
        <v>3</v>
      </c>
      <c r="E51" s="105" t="s">
        <v>4</v>
      </c>
      <c r="F51" s="106" t="s">
        <v>63</v>
      </c>
      <c r="G51" s="107" t="s">
        <v>73</v>
      </c>
      <c r="H51" s="107" t="s">
        <v>5</v>
      </c>
      <c r="I51" s="107" t="s">
        <v>51</v>
      </c>
      <c r="J51" s="107"/>
      <c r="K51" s="107"/>
      <c r="L51" s="108"/>
      <c r="M51" s="21">
        <f>F50/30*1+G50/30*1+I50/30*7</f>
        <v>31.446816849347183</v>
      </c>
      <c r="N51" s="21">
        <f>F50/30*15+G50/30*5</f>
        <v>40.014505652245902</v>
      </c>
      <c r="O51" s="21">
        <f>H50/10*5+I50/30*5</f>
        <v>25.080321285140563</v>
      </c>
      <c r="P51" s="21">
        <f>F50/30/60+G50/30*25+H50/10*45+I50/30*55</f>
        <v>290.92493883724035</v>
      </c>
      <c r="R51" s="241" t="str">
        <f>A50</f>
        <v>زرشک پلو</v>
      </c>
      <c r="S51" s="238" t="s">
        <v>1</v>
      </c>
      <c r="T51" s="237">
        <f>B50</f>
        <v>100</v>
      </c>
      <c r="U51" s="238" t="s">
        <v>23</v>
      </c>
      <c r="V51" s="237">
        <f t="shared" si="70"/>
        <v>31.446816849347183</v>
      </c>
      <c r="W51" s="238" t="s">
        <v>24</v>
      </c>
      <c r="X51" s="237">
        <f t="shared" ref="X51" si="102">N51</f>
        <v>40.014505652245902</v>
      </c>
      <c r="Y51" s="238" t="s">
        <v>13</v>
      </c>
      <c r="Z51" s="237">
        <f t="shared" ref="Z51" si="103">O51</f>
        <v>25.080321285140563</v>
      </c>
      <c r="AA51" s="238" t="s">
        <v>4</v>
      </c>
      <c r="AB51" s="238">
        <f t="shared" ref="AB51" si="104">P51</f>
        <v>290.92493883724035</v>
      </c>
      <c r="AC51" s="239" t="str">
        <f>R51</f>
        <v>زرشک پلو</v>
      </c>
      <c r="AD51" s="26" t="s">
        <v>11</v>
      </c>
      <c r="AE51" s="27" t="s">
        <v>12</v>
      </c>
      <c r="AF51" s="28" t="s">
        <v>13</v>
      </c>
      <c r="AG51" s="29" t="s">
        <v>4</v>
      </c>
    </row>
    <row r="52" spans="1:33">
      <c r="A52" s="103" t="s">
        <v>136</v>
      </c>
      <c r="B52" s="103">
        <v>100</v>
      </c>
      <c r="C52" s="103" t="s">
        <v>86</v>
      </c>
      <c r="D52" s="104">
        <f t="shared" ref="D52" si="105">100/10</f>
        <v>10</v>
      </c>
      <c r="E52" s="105">
        <f>B52/0.63</f>
        <v>158.73015873015873</v>
      </c>
      <c r="F52" s="106">
        <f>B52/1.42</f>
        <v>70.422535211267615</v>
      </c>
      <c r="G52" s="107">
        <f>B52/5</f>
        <v>20</v>
      </c>
      <c r="H52" s="107">
        <f>B52/3.3</f>
        <v>30.303030303030305</v>
      </c>
      <c r="I52" s="107">
        <f>B52/15</f>
        <v>6.666666666666667</v>
      </c>
      <c r="J52" s="107"/>
      <c r="K52" s="107"/>
      <c r="L52" s="108"/>
      <c r="M52" s="9" t="s">
        <v>11</v>
      </c>
      <c r="N52" s="9" t="s">
        <v>12</v>
      </c>
      <c r="O52" s="9" t="s">
        <v>13</v>
      </c>
      <c r="P52" s="9" t="s">
        <v>4</v>
      </c>
      <c r="R52" s="236"/>
      <c r="S52" s="232"/>
      <c r="T52" s="230"/>
      <c r="U52" s="232"/>
      <c r="V52" s="230"/>
      <c r="W52" s="232"/>
      <c r="X52" s="230"/>
      <c r="Y52" s="232"/>
      <c r="Z52" s="230"/>
      <c r="AA52" s="232"/>
      <c r="AB52" s="232"/>
      <c r="AC52" s="234"/>
      <c r="AD52" s="26">
        <f>VLOOKUP(AC53,R53:AB54,5,0)</f>
        <v>14.084791577749325</v>
      </c>
      <c r="AE52" s="27">
        <f>VLOOKUP(AC53,R53:AB54,7,0)</f>
        <v>45.211267605633807</v>
      </c>
      <c r="AF52" s="28">
        <f>VLOOKUP(AC53,R53:AB54,9,0)</f>
        <v>8.3838383838383841</v>
      </c>
      <c r="AG52" s="29">
        <f>VLOOKUP(AC53,R53:AB54,11,0)</f>
        <v>276.60264618011098</v>
      </c>
    </row>
    <row r="53" spans="1:33">
      <c r="A53" s="103" t="s">
        <v>0</v>
      </c>
      <c r="B53" s="103" t="s">
        <v>1</v>
      </c>
      <c r="C53" s="103" t="s">
        <v>2</v>
      </c>
      <c r="D53" s="104" t="s">
        <v>3</v>
      </c>
      <c r="E53" s="105" t="s">
        <v>4</v>
      </c>
      <c r="F53" s="106" t="s">
        <v>63</v>
      </c>
      <c r="G53" s="107" t="s">
        <v>73</v>
      </c>
      <c r="H53" s="107" t="s">
        <v>51</v>
      </c>
      <c r="I53" s="107"/>
      <c r="J53" s="107"/>
      <c r="K53" s="107"/>
      <c r="L53" s="108"/>
      <c r="M53" s="21">
        <f>F52/30*1+G52/30*7+H52/30*7</f>
        <v>14.084791577749325</v>
      </c>
      <c r="N53" s="21">
        <f>F52/30*15+G52/30*15</f>
        <v>45.211267605633807</v>
      </c>
      <c r="O53" s="21">
        <f>H52/30*5+I52/10*5</f>
        <v>8.3838383838383841</v>
      </c>
      <c r="P53" s="21">
        <f>F52/30*60+G52/30*45+H52/30*75+I52/10*45</f>
        <v>276.60264618011098</v>
      </c>
      <c r="R53" s="241" t="str">
        <f>A52</f>
        <v>عدس پلو با گوشت</v>
      </c>
      <c r="S53" s="238" t="s">
        <v>1</v>
      </c>
      <c r="T53" s="237">
        <f>B52</f>
        <v>100</v>
      </c>
      <c r="U53" s="238" t="s">
        <v>23</v>
      </c>
      <c r="V53" s="237">
        <f t="shared" si="75"/>
        <v>14.084791577749325</v>
      </c>
      <c r="W53" s="238" t="s">
        <v>24</v>
      </c>
      <c r="X53" s="237">
        <f t="shared" ref="X53" si="106">N53</f>
        <v>45.211267605633807</v>
      </c>
      <c r="Y53" s="238" t="s">
        <v>13</v>
      </c>
      <c r="Z53" s="237">
        <f t="shared" si="42"/>
        <v>8.3838383838383841</v>
      </c>
      <c r="AA53" s="238" t="s">
        <v>4</v>
      </c>
      <c r="AB53" s="238">
        <f t="shared" ref="AB53" si="107">P53</f>
        <v>276.60264618011098</v>
      </c>
      <c r="AC53" s="239" t="str">
        <f>R53</f>
        <v>عدس پلو با گوشت</v>
      </c>
      <c r="AD53" s="26" t="s">
        <v>11</v>
      </c>
      <c r="AE53" s="27" t="s">
        <v>12</v>
      </c>
      <c r="AF53" s="28" t="s">
        <v>13</v>
      </c>
      <c r="AG53" s="29" t="s">
        <v>4</v>
      </c>
    </row>
    <row r="54" spans="1:33">
      <c r="A54" s="103" t="s">
        <v>137</v>
      </c>
      <c r="B54" s="103">
        <v>100</v>
      </c>
      <c r="C54" s="103" t="s">
        <v>86</v>
      </c>
      <c r="D54" s="104">
        <f t="shared" ref="D54" si="108">100/10</f>
        <v>10</v>
      </c>
      <c r="E54" s="105">
        <f>B54/0.52</f>
        <v>192.30769230769229</v>
      </c>
      <c r="F54" s="106">
        <f>B54/1.42</f>
        <v>70.422535211267615</v>
      </c>
      <c r="G54" s="107">
        <f>B54/5</f>
        <v>20</v>
      </c>
      <c r="H54" s="107">
        <f>B54/10</f>
        <v>10</v>
      </c>
      <c r="I54" s="107"/>
      <c r="J54" s="107"/>
      <c r="K54" s="107"/>
      <c r="L54" s="108"/>
      <c r="M54" s="9" t="s">
        <v>11</v>
      </c>
      <c r="N54" s="9" t="s">
        <v>12</v>
      </c>
      <c r="O54" s="9" t="s">
        <v>13</v>
      </c>
      <c r="P54" s="9" t="s">
        <v>4</v>
      </c>
      <c r="R54" s="236"/>
      <c r="S54" s="232"/>
      <c r="T54" s="230"/>
      <c r="U54" s="232"/>
      <c r="V54" s="230"/>
      <c r="W54" s="232"/>
      <c r="X54" s="230"/>
      <c r="Y54" s="232"/>
      <c r="Z54" s="230"/>
      <c r="AA54" s="232"/>
      <c r="AB54" s="232"/>
      <c r="AC54" s="234"/>
      <c r="AD54" s="26">
        <f>VLOOKUP(AC55,R55:AB56,5,0)</f>
        <v>3.0140845070422535</v>
      </c>
      <c r="AE54" s="27">
        <f>VLOOKUP(AC55,R55:AB56,7,0)</f>
        <v>45.211267605633807</v>
      </c>
      <c r="AF54" s="28">
        <f>VLOOKUP(AC55,R55:AB56,9,0)</f>
        <v>1.6666666666666665</v>
      </c>
      <c r="AG54" s="29">
        <f>VLOOKUP(AC55,R55:AB56,11,0)</f>
        <v>212.51173708920189</v>
      </c>
    </row>
    <row r="55" spans="1:33">
      <c r="A55" s="103" t="s">
        <v>0</v>
      </c>
      <c r="B55" s="103" t="s">
        <v>1</v>
      </c>
      <c r="C55" s="103" t="s">
        <v>2</v>
      </c>
      <c r="D55" s="104" t="s">
        <v>3</v>
      </c>
      <c r="E55" s="105" t="s">
        <v>4</v>
      </c>
      <c r="F55" s="106" t="s">
        <v>63</v>
      </c>
      <c r="G55" s="107" t="s">
        <v>138</v>
      </c>
      <c r="H55" s="107" t="s">
        <v>54</v>
      </c>
      <c r="I55" s="107" t="s">
        <v>51</v>
      </c>
      <c r="J55" s="107"/>
      <c r="K55" s="107"/>
      <c r="L55" s="108"/>
      <c r="M55" s="21">
        <f>F54/30*1+G54/30*1</f>
        <v>3.0140845070422535</v>
      </c>
      <c r="N55" s="21">
        <f>F54/30*15+G54/30*15</f>
        <v>45.211267605633807</v>
      </c>
      <c r="O55" s="21">
        <f>H54/30*5</f>
        <v>1.6666666666666665</v>
      </c>
      <c r="P55" s="21">
        <f>F54/30*60+G54/30*40+H54/10*45</f>
        <v>212.51173708920189</v>
      </c>
      <c r="R55" s="241" t="str">
        <f>A54</f>
        <v>عدس پلو</v>
      </c>
      <c r="S55" s="238" t="s">
        <v>1</v>
      </c>
      <c r="T55" s="237">
        <f>B54</f>
        <v>100</v>
      </c>
      <c r="U55" s="238" t="s">
        <v>23</v>
      </c>
      <c r="V55" s="237">
        <f t="shared" si="80"/>
        <v>3.0140845070422535</v>
      </c>
      <c r="W55" s="238" t="s">
        <v>24</v>
      </c>
      <c r="X55" s="237">
        <f t="shared" ref="X55" si="109">N55</f>
        <v>45.211267605633807</v>
      </c>
      <c r="Y55" s="238" t="s">
        <v>13</v>
      </c>
      <c r="Z55" s="237">
        <f t="shared" si="47"/>
        <v>1.6666666666666665</v>
      </c>
      <c r="AA55" s="238" t="s">
        <v>4</v>
      </c>
      <c r="AB55" s="238">
        <f t="shared" ref="AB55" si="110">P55</f>
        <v>212.51173708920189</v>
      </c>
      <c r="AC55" s="239" t="str">
        <f>R55</f>
        <v>عدس پلو</v>
      </c>
      <c r="AD55" s="26" t="s">
        <v>11</v>
      </c>
      <c r="AE55" s="27" t="s">
        <v>12</v>
      </c>
      <c r="AF55" s="28" t="s">
        <v>13</v>
      </c>
      <c r="AG55" s="29" t="s">
        <v>4</v>
      </c>
    </row>
    <row r="56" spans="1:33">
      <c r="A56" s="103" t="s">
        <v>139</v>
      </c>
      <c r="B56" s="103">
        <v>100</v>
      </c>
      <c r="C56" s="103" t="s">
        <v>86</v>
      </c>
      <c r="D56" s="104">
        <f t="shared" ref="D56" si="111">100/10</f>
        <v>10</v>
      </c>
      <c r="E56" s="105">
        <f>B56/0.619</f>
        <v>161.55088852988692</v>
      </c>
      <c r="F56" s="106">
        <f>B56/1.42</f>
        <v>70.422535211267615</v>
      </c>
      <c r="G56" s="107">
        <f>B56/3.33</f>
        <v>30.03003003003003</v>
      </c>
      <c r="H56" s="107">
        <f>B56/3.33</f>
        <v>30.03003003003003</v>
      </c>
      <c r="I56" s="107">
        <f>B56/10</f>
        <v>10</v>
      </c>
      <c r="J56" s="107"/>
      <c r="K56" s="107"/>
      <c r="L56" s="108"/>
      <c r="M56" s="9" t="s">
        <v>11</v>
      </c>
      <c r="N56" s="9" t="s">
        <v>12</v>
      </c>
      <c r="O56" s="9" t="s">
        <v>13</v>
      </c>
      <c r="P56" s="9" t="s">
        <v>4</v>
      </c>
      <c r="R56" s="236"/>
      <c r="S56" s="232"/>
      <c r="T56" s="230"/>
      <c r="U56" s="232"/>
      <c r="V56" s="230"/>
      <c r="W56" s="232"/>
      <c r="X56" s="230"/>
      <c r="Y56" s="232"/>
      <c r="Z56" s="230"/>
      <c r="AA56" s="232"/>
      <c r="AB56" s="232"/>
      <c r="AC56" s="234"/>
      <c r="AD56" s="26">
        <f>VLOOKUP(AC57,R57:AB58,5,0)</f>
        <v>10.355425848383597</v>
      </c>
      <c r="AE56" s="27">
        <f>VLOOKUP(AC57,R57:AB58,7,0)</f>
        <v>40.216272610638811</v>
      </c>
      <c r="AF56" s="28">
        <f>VLOOKUP(AC57,R57:AB58,9,0)</f>
        <v>10.005005005005005</v>
      </c>
      <c r="AG56" s="29">
        <f>VLOOKUP(AC57,R57:AB58,11,0)</f>
        <v>265.92515050261534</v>
      </c>
    </row>
    <row r="57" spans="1:33">
      <c r="A57" s="103" t="s">
        <v>0</v>
      </c>
      <c r="B57" s="103" t="s">
        <v>1</v>
      </c>
      <c r="C57" s="103" t="s">
        <v>2</v>
      </c>
      <c r="D57" s="104" t="s">
        <v>3</v>
      </c>
      <c r="E57" s="105" t="s">
        <v>4</v>
      </c>
      <c r="F57" s="106" t="s">
        <v>63</v>
      </c>
      <c r="G57" s="107" t="s">
        <v>140</v>
      </c>
      <c r="H57" s="107" t="s">
        <v>5</v>
      </c>
      <c r="I57" s="107" t="s">
        <v>51</v>
      </c>
      <c r="J57" s="107"/>
      <c r="K57" s="107"/>
      <c r="L57" s="108"/>
      <c r="M57" s="21">
        <f>F56/30*1+G56/30*1+H56/30*7</f>
        <v>10.355425848383597</v>
      </c>
      <c r="N57" s="21">
        <f>F56/30*15+G56/30*5</f>
        <v>40.216272610638811</v>
      </c>
      <c r="O57" s="21">
        <f>H56/30*5+I56/10*5</f>
        <v>10.005005005005005</v>
      </c>
      <c r="P57" s="21">
        <f>F56/30*60+G56/30*25+H56/30*55+I56/10*45</f>
        <v>265.92515050261534</v>
      </c>
      <c r="R57" s="241" t="str">
        <f>A56</f>
        <v>کلم پلو</v>
      </c>
      <c r="S57" s="238" t="s">
        <v>1</v>
      </c>
      <c r="T57" s="237">
        <f>B56</f>
        <v>100</v>
      </c>
      <c r="U57" s="238" t="s">
        <v>23</v>
      </c>
      <c r="V57" s="237">
        <f t="shared" ref="V57" si="112">M57</f>
        <v>10.355425848383597</v>
      </c>
      <c r="W57" s="238" t="s">
        <v>24</v>
      </c>
      <c r="X57" s="237">
        <f t="shared" ref="X57" si="113">N57</f>
        <v>40.216272610638811</v>
      </c>
      <c r="Y57" s="238" t="s">
        <v>13</v>
      </c>
      <c r="Z57" s="237">
        <f t="shared" si="52"/>
        <v>10.005005005005005</v>
      </c>
      <c r="AA57" s="238" t="s">
        <v>4</v>
      </c>
      <c r="AB57" s="238">
        <f t="shared" ref="AB57" si="114">P57</f>
        <v>265.92515050261534</v>
      </c>
      <c r="AC57" s="239" t="str">
        <f>R57</f>
        <v>کلم پلو</v>
      </c>
      <c r="AD57" s="26" t="s">
        <v>11</v>
      </c>
      <c r="AE57" s="27" t="s">
        <v>12</v>
      </c>
      <c r="AF57" s="28" t="s">
        <v>13</v>
      </c>
      <c r="AG57" s="29" t="s">
        <v>4</v>
      </c>
    </row>
    <row r="58" spans="1:33">
      <c r="A58" s="103" t="s">
        <v>141</v>
      </c>
      <c r="B58" s="103">
        <v>150</v>
      </c>
      <c r="C58" s="103" t="s">
        <v>86</v>
      </c>
      <c r="D58" s="104">
        <f t="shared" ref="D58" si="115">100/10</f>
        <v>10</v>
      </c>
      <c r="E58" s="105">
        <f>B58/0.75</f>
        <v>200</v>
      </c>
      <c r="F58" s="106">
        <f>B58/2.142</f>
        <v>70.0280112044818</v>
      </c>
      <c r="G58" s="107">
        <f>B58/7.5</f>
        <v>20</v>
      </c>
      <c r="H58" s="107">
        <f>B58/5</f>
        <v>30</v>
      </c>
      <c r="I58" s="107">
        <f>B58/15</f>
        <v>10</v>
      </c>
      <c r="J58" s="107"/>
      <c r="K58" s="107"/>
      <c r="L58" s="108"/>
      <c r="M58" s="9" t="s">
        <v>11</v>
      </c>
      <c r="N58" s="9" t="s">
        <v>12</v>
      </c>
      <c r="O58" s="9" t="s">
        <v>13</v>
      </c>
      <c r="P58" s="9" t="s">
        <v>4</v>
      </c>
      <c r="R58" s="236"/>
      <c r="S58" s="232"/>
      <c r="T58" s="230"/>
      <c r="U58" s="232"/>
      <c r="V58" s="230"/>
      <c r="W58" s="232"/>
      <c r="X58" s="230"/>
      <c r="Y58" s="232"/>
      <c r="Z58" s="230"/>
      <c r="AA58" s="232"/>
      <c r="AB58" s="232"/>
      <c r="AC58" s="234"/>
      <c r="AD58" s="26">
        <f>VLOOKUP(AC59,R59:AB60,5,0)</f>
        <v>14.00093370681606</v>
      </c>
      <c r="AE58" s="27">
        <f>VLOOKUP(AC59,R59:AB60,7,0)</f>
        <v>45.0140056022409</v>
      </c>
      <c r="AF58" s="28">
        <f>VLOOKUP(AC59,R59:AB60,9,0)</f>
        <v>10</v>
      </c>
      <c r="AG58" s="29">
        <f>VLOOKUP(AC59,R59:AB60,11,0)</f>
        <v>256.72268907563023</v>
      </c>
    </row>
    <row r="59" spans="1:33">
      <c r="A59" s="103" t="s">
        <v>0</v>
      </c>
      <c r="B59" s="103" t="s">
        <v>1</v>
      </c>
      <c r="C59" s="103" t="s">
        <v>2</v>
      </c>
      <c r="D59" s="104" t="s">
        <v>3</v>
      </c>
      <c r="E59" s="105" t="s">
        <v>4</v>
      </c>
      <c r="F59" s="106" t="s">
        <v>63</v>
      </c>
      <c r="G59" s="107" t="s">
        <v>142</v>
      </c>
      <c r="H59" s="107" t="s">
        <v>51</v>
      </c>
      <c r="I59" s="107"/>
      <c r="J59" s="107"/>
      <c r="K59" s="107"/>
      <c r="L59" s="108"/>
      <c r="M59" s="21">
        <f>F58/30*1+G58/30*7+H58/30*7</f>
        <v>14.00093370681606</v>
      </c>
      <c r="N59" s="21">
        <f>F58/30*15+G58/30*15</f>
        <v>45.0140056022409</v>
      </c>
      <c r="O59" s="21">
        <f>I58/10*5+H58/30*5</f>
        <v>10</v>
      </c>
      <c r="P59" s="21">
        <f>F58/30*60+G58/30*40+H58/30*75+I58/30*45</f>
        <v>256.72268907563023</v>
      </c>
      <c r="R59" s="241" t="str">
        <f>A58</f>
        <v>لوبیا پلو</v>
      </c>
      <c r="S59" s="238" t="s">
        <v>1</v>
      </c>
      <c r="T59" s="237">
        <f>B58</f>
        <v>150</v>
      </c>
      <c r="U59" s="238" t="s">
        <v>23</v>
      </c>
      <c r="V59" s="237">
        <f t="shared" si="45"/>
        <v>14.00093370681606</v>
      </c>
      <c r="W59" s="238" t="s">
        <v>24</v>
      </c>
      <c r="X59" s="237">
        <f t="shared" ref="X59" si="116">N59</f>
        <v>45.0140056022409</v>
      </c>
      <c r="Y59" s="238" t="s">
        <v>13</v>
      </c>
      <c r="Z59" s="237">
        <f t="shared" si="57"/>
        <v>10</v>
      </c>
      <c r="AA59" s="238" t="s">
        <v>4</v>
      </c>
      <c r="AB59" s="238">
        <f t="shared" ref="AB59" si="117">P59</f>
        <v>256.72268907563023</v>
      </c>
      <c r="AC59" s="239" t="str">
        <f>R59</f>
        <v>لوبیا پلو</v>
      </c>
      <c r="AD59" s="26" t="s">
        <v>11</v>
      </c>
      <c r="AE59" s="27" t="s">
        <v>12</v>
      </c>
      <c r="AF59" s="28" t="s">
        <v>13</v>
      </c>
      <c r="AG59" s="29" t="s">
        <v>4</v>
      </c>
    </row>
    <row r="60" spans="1:33">
      <c r="A60" s="103" t="s">
        <v>143</v>
      </c>
      <c r="B60" s="103">
        <v>100</v>
      </c>
      <c r="C60" s="103" t="s">
        <v>86</v>
      </c>
      <c r="D60" s="104">
        <f t="shared" ref="D60" si="118">100/10</f>
        <v>10</v>
      </c>
      <c r="E60" s="105">
        <f>B60/0.83</f>
        <v>120.48192771084338</v>
      </c>
      <c r="F60" s="106">
        <f>B60/1.428</f>
        <v>70.0280112044818</v>
      </c>
      <c r="G60" s="107">
        <f>B60/5</f>
        <v>20</v>
      </c>
      <c r="H60" s="107">
        <f>B60/10</f>
        <v>10</v>
      </c>
      <c r="I60" s="107"/>
      <c r="J60" s="107"/>
      <c r="K60" s="107"/>
      <c r="L60" s="108"/>
      <c r="M60" s="9" t="s">
        <v>11</v>
      </c>
      <c r="N60" s="9" t="s">
        <v>12</v>
      </c>
      <c r="O60" s="9" t="s">
        <v>13</v>
      </c>
      <c r="P60" s="9" t="s">
        <v>4</v>
      </c>
      <c r="R60" s="236"/>
      <c r="S60" s="232"/>
      <c r="T60" s="230"/>
      <c r="U60" s="232"/>
      <c r="V60" s="230"/>
      <c r="W60" s="232"/>
      <c r="X60" s="230"/>
      <c r="Y60" s="232"/>
      <c r="Z60" s="230"/>
      <c r="AA60" s="232"/>
      <c r="AB60" s="232"/>
      <c r="AC60" s="234"/>
      <c r="AD60" s="26">
        <f>VLOOKUP(AC61,R61:AB62,5,0)</f>
        <v>2.3342670401493932</v>
      </c>
      <c r="AE60" s="27">
        <f>VLOOKUP(AC61,R61:AB62,7,0)</f>
        <v>35.0140056022409</v>
      </c>
      <c r="AF60" s="28">
        <f>VLOOKUP(AC61,R61:AB62,9,0)</f>
        <v>5</v>
      </c>
      <c r="AG60" s="29">
        <f>VLOOKUP(AC61,R61:AB62,11,0)</f>
        <v>155.0560224089636</v>
      </c>
    </row>
    <row r="61" spans="1:33">
      <c r="A61" s="103" t="s">
        <v>0</v>
      </c>
      <c r="B61" s="103" t="s">
        <v>1</v>
      </c>
      <c r="C61" s="103" t="s">
        <v>2</v>
      </c>
      <c r="D61" s="104" t="s">
        <v>3</v>
      </c>
      <c r="E61" s="105" t="s">
        <v>4</v>
      </c>
      <c r="F61" s="106" t="s">
        <v>63</v>
      </c>
      <c r="G61" s="107" t="s">
        <v>144</v>
      </c>
      <c r="H61" s="107" t="s">
        <v>51</v>
      </c>
      <c r="I61" s="107"/>
      <c r="J61" s="107"/>
      <c r="K61" s="107"/>
      <c r="L61" s="108"/>
      <c r="M61" s="21">
        <f>F60/30*1</f>
        <v>2.3342670401493932</v>
      </c>
      <c r="N61" s="21">
        <f>F60/30*15</f>
        <v>35.0140056022409</v>
      </c>
      <c r="O61" s="21">
        <f>H60/10*5</f>
        <v>5</v>
      </c>
      <c r="P61" s="21">
        <f>F60/30*60+H60/30*45</f>
        <v>155.0560224089636</v>
      </c>
      <c r="R61" s="241" t="str">
        <f>A60</f>
        <v>زیره پلو</v>
      </c>
      <c r="S61" s="238" t="s">
        <v>1</v>
      </c>
      <c r="T61" s="237">
        <f>B60</f>
        <v>100</v>
      </c>
      <c r="U61" s="238" t="s">
        <v>23</v>
      </c>
      <c r="V61" s="237">
        <f t="shared" si="50"/>
        <v>2.3342670401493932</v>
      </c>
      <c r="W61" s="238" t="s">
        <v>24</v>
      </c>
      <c r="X61" s="237">
        <f t="shared" ref="X61" si="119">N61</f>
        <v>35.0140056022409</v>
      </c>
      <c r="Y61" s="238" t="s">
        <v>13</v>
      </c>
      <c r="Z61" s="237">
        <f t="shared" si="62"/>
        <v>5</v>
      </c>
      <c r="AA61" s="238" t="s">
        <v>4</v>
      </c>
      <c r="AB61" s="238">
        <f t="shared" ref="AB61" si="120">P61</f>
        <v>155.0560224089636</v>
      </c>
      <c r="AC61" s="239" t="str">
        <f>R61</f>
        <v>زیره پلو</v>
      </c>
      <c r="AD61" s="26" t="s">
        <v>11</v>
      </c>
      <c r="AE61" s="27" t="s">
        <v>12</v>
      </c>
      <c r="AF61" s="28" t="s">
        <v>13</v>
      </c>
      <c r="AG61" s="29" t="s">
        <v>4</v>
      </c>
    </row>
    <row r="62" spans="1:33">
      <c r="A62" s="103" t="s">
        <v>145</v>
      </c>
      <c r="B62" s="103">
        <v>100</v>
      </c>
      <c r="C62" s="103" t="s">
        <v>86</v>
      </c>
      <c r="D62" s="104">
        <f t="shared" ref="D62" si="121">100/10</f>
        <v>10</v>
      </c>
      <c r="E62" s="105">
        <f>B62/0.458</f>
        <v>218.34061135371178</v>
      </c>
      <c r="F62" s="106">
        <f>B62/1.428</f>
        <v>70.0280112044818</v>
      </c>
      <c r="G62" s="107">
        <f>B62/10</f>
        <v>10</v>
      </c>
      <c r="H62" s="107">
        <f>B62/10</f>
        <v>10</v>
      </c>
      <c r="I62" s="107"/>
      <c r="J62" s="107"/>
      <c r="K62" s="107"/>
      <c r="L62" s="108"/>
      <c r="M62" s="9" t="s">
        <v>11</v>
      </c>
      <c r="N62" s="9" t="s">
        <v>12</v>
      </c>
      <c r="O62" s="9" t="s">
        <v>13</v>
      </c>
      <c r="P62" s="9" t="s">
        <v>4</v>
      </c>
      <c r="R62" s="236"/>
      <c r="S62" s="232"/>
      <c r="T62" s="230"/>
      <c r="U62" s="232"/>
      <c r="V62" s="230"/>
      <c r="W62" s="232"/>
      <c r="X62" s="230"/>
      <c r="Y62" s="232"/>
      <c r="Z62" s="230"/>
      <c r="AA62" s="232"/>
      <c r="AB62" s="232"/>
      <c r="AC62" s="234"/>
      <c r="AD62" s="26">
        <f>VLOOKUP(AC63,R63:AB64,5,0)</f>
        <v>2.3342670401493932</v>
      </c>
      <c r="AE62" s="27">
        <f>VLOOKUP(AC63,R63:AB64,7,0)</f>
        <v>40.0140056022409</v>
      </c>
      <c r="AF62" s="28">
        <f>VLOOKUP(AC63,R63:AB64,9,0)</f>
        <v>5</v>
      </c>
      <c r="AG62" s="29">
        <f>VLOOKUP(AC63,R63:AB64,11,0)</f>
        <v>175.0560224089636</v>
      </c>
    </row>
    <row r="63" spans="1:33">
      <c r="A63" s="103" t="s">
        <v>0</v>
      </c>
      <c r="B63" s="103" t="s">
        <v>1</v>
      </c>
      <c r="C63" s="103" t="s">
        <v>2</v>
      </c>
      <c r="D63" s="104" t="s">
        <v>3</v>
      </c>
      <c r="E63" s="105" t="s">
        <v>4</v>
      </c>
      <c r="F63" s="106" t="s">
        <v>63</v>
      </c>
      <c r="G63" s="107" t="s">
        <v>146</v>
      </c>
      <c r="H63" s="107" t="s">
        <v>51</v>
      </c>
      <c r="I63" s="107"/>
      <c r="J63" s="107"/>
      <c r="K63" s="107"/>
      <c r="L63" s="108"/>
      <c r="M63" s="21">
        <f>F62/30*1</f>
        <v>2.3342670401493932</v>
      </c>
      <c r="N63" s="21">
        <f>F62/30*15+G62/30*15</f>
        <v>40.0140056022409</v>
      </c>
      <c r="O63" s="21">
        <f>H62/10*5</f>
        <v>5</v>
      </c>
      <c r="P63" s="21">
        <f>F62/30*60+G62/30*60+H62/30*45</f>
        <v>175.0560224089636</v>
      </c>
      <c r="R63" s="241" t="str">
        <f>A62</f>
        <v>شیرین پلو</v>
      </c>
      <c r="S63" s="238" t="s">
        <v>1</v>
      </c>
      <c r="T63" s="237">
        <f>B62</f>
        <v>100</v>
      </c>
      <c r="U63" s="238" t="s">
        <v>23</v>
      </c>
      <c r="V63" s="237">
        <f t="shared" si="55"/>
        <v>2.3342670401493932</v>
      </c>
      <c r="W63" s="238" t="s">
        <v>24</v>
      </c>
      <c r="X63" s="237">
        <f t="shared" ref="X63" si="122">N63</f>
        <v>40.0140056022409</v>
      </c>
      <c r="Y63" s="238" t="s">
        <v>13</v>
      </c>
      <c r="Z63" s="237">
        <f t="shared" ref="Z63" si="123">O63</f>
        <v>5</v>
      </c>
      <c r="AA63" s="238" t="s">
        <v>4</v>
      </c>
      <c r="AB63" s="238">
        <f t="shared" ref="AB63" si="124">P63</f>
        <v>175.0560224089636</v>
      </c>
      <c r="AC63" s="239" t="str">
        <f>R63</f>
        <v>شیرین پلو</v>
      </c>
      <c r="AD63" s="26" t="s">
        <v>11</v>
      </c>
      <c r="AE63" s="27" t="s">
        <v>12</v>
      </c>
      <c r="AF63" s="28" t="s">
        <v>13</v>
      </c>
      <c r="AG63" s="29" t="s">
        <v>4</v>
      </c>
    </row>
    <row r="64" spans="1:33">
      <c r="A64" s="103" t="s">
        <v>147</v>
      </c>
      <c r="B64" s="103">
        <v>100</v>
      </c>
      <c r="C64" s="103" t="s">
        <v>86</v>
      </c>
      <c r="D64" s="104">
        <f t="shared" ref="D64" si="125">100/10</f>
        <v>10</v>
      </c>
      <c r="E64" s="105">
        <f>B64/0.492</f>
        <v>203.2520325203252</v>
      </c>
      <c r="F64" s="106">
        <f>B64/1.428</f>
        <v>70.0280112044818</v>
      </c>
      <c r="G64" s="107">
        <f>B64/5</f>
        <v>20</v>
      </c>
      <c r="H64" s="107">
        <f>B64/10</f>
        <v>10</v>
      </c>
      <c r="I64" s="107"/>
      <c r="J64" s="107"/>
      <c r="K64" s="107"/>
      <c r="L64" s="108"/>
      <c r="M64" s="9" t="s">
        <v>11</v>
      </c>
      <c r="N64" s="9" t="s">
        <v>12</v>
      </c>
      <c r="O64" s="9" t="s">
        <v>13</v>
      </c>
      <c r="P64" s="9" t="s">
        <v>4</v>
      </c>
      <c r="R64" s="236"/>
      <c r="S64" s="232"/>
      <c r="T64" s="230"/>
      <c r="U64" s="232"/>
      <c r="V64" s="230"/>
      <c r="W64" s="232"/>
      <c r="X64" s="230"/>
      <c r="Y64" s="232"/>
      <c r="Z64" s="230"/>
      <c r="AA64" s="232"/>
      <c r="AB64" s="232"/>
      <c r="AC64" s="234"/>
      <c r="AD64" s="26">
        <f>VLOOKUP(AC65,R65:AB66,5,0)</f>
        <v>2.3342670401493932</v>
      </c>
      <c r="AE64" s="27">
        <f>VLOOKUP(AC65,R65:AB66,7,0)</f>
        <v>45.0140056022409</v>
      </c>
      <c r="AF64" s="28">
        <f>VLOOKUP(AC65,R65:AB66,9,0)</f>
        <v>5</v>
      </c>
      <c r="AG64" s="29">
        <f>VLOOKUP(AC65,R65:AB66,11,0)</f>
        <v>195.0560224089636</v>
      </c>
    </row>
    <row r="65" spans="1:33">
      <c r="A65" s="103" t="s">
        <v>0</v>
      </c>
      <c r="B65" s="103" t="s">
        <v>1</v>
      </c>
      <c r="C65" s="103" t="s">
        <v>2</v>
      </c>
      <c r="D65" s="104" t="s">
        <v>3</v>
      </c>
      <c r="E65" s="105" t="s">
        <v>4</v>
      </c>
      <c r="F65" s="106" t="s">
        <v>63</v>
      </c>
      <c r="G65" s="107" t="s">
        <v>148</v>
      </c>
      <c r="H65" s="107" t="s">
        <v>51</v>
      </c>
      <c r="I65" s="107"/>
      <c r="J65" s="107"/>
      <c r="K65" s="107"/>
      <c r="L65" s="108"/>
      <c r="M65" s="21">
        <f>F64/30*1</f>
        <v>2.3342670401493932</v>
      </c>
      <c r="N65" s="21">
        <f>F64/30*15+G64/30*15</f>
        <v>45.0140056022409</v>
      </c>
      <c r="O65" s="21">
        <f>H64/10*5</f>
        <v>5</v>
      </c>
      <c r="P65" s="21">
        <f>F64/30*60+G64/30*60+H64/30*45</f>
        <v>195.0560224089636</v>
      </c>
      <c r="R65" s="241" t="str">
        <f>A64</f>
        <v>باقالی پلو با مرغ</v>
      </c>
      <c r="S65" s="238" t="s">
        <v>1</v>
      </c>
      <c r="T65" s="237">
        <f>B64</f>
        <v>100</v>
      </c>
      <c r="U65" s="238" t="s">
        <v>23</v>
      </c>
      <c r="V65" s="237">
        <f t="shared" si="60"/>
        <v>2.3342670401493932</v>
      </c>
      <c r="W65" s="238" t="s">
        <v>24</v>
      </c>
      <c r="X65" s="237">
        <f t="shared" ref="X65" si="126">N65</f>
        <v>45.0140056022409</v>
      </c>
      <c r="Y65" s="238" t="s">
        <v>13</v>
      </c>
      <c r="Z65" s="237">
        <f t="shared" ref="Z65:Z125" si="127">O65</f>
        <v>5</v>
      </c>
      <c r="AA65" s="238" t="s">
        <v>4</v>
      </c>
      <c r="AB65" s="238">
        <f t="shared" ref="AB65" si="128">P65</f>
        <v>195.0560224089636</v>
      </c>
      <c r="AC65" s="239" t="str">
        <f>R65</f>
        <v>باقالی پلو با مرغ</v>
      </c>
      <c r="AD65" s="26" t="s">
        <v>11</v>
      </c>
      <c r="AE65" s="27" t="s">
        <v>12</v>
      </c>
      <c r="AF65" s="28" t="s">
        <v>13</v>
      </c>
      <c r="AG65" s="29" t="s">
        <v>4</v>
      </c>
    </row>
    <row r="66" spans="1:33">
      <c r="A66" s="103" t="s">
        <v>149</v>
      </c>
      <c r="B66" s="103">
        <v>100</v>
      </c>
      <c r="C66" s="103" t="s">
        <v>86</v>
      </c>
      <c r="D66" s="104">
        <f t="shared" ref="D66" si="129">100/10</f>
        <v>10</v>
      </c>
      <c r="E66" s="105">
        <f>B66/0.833</f>
        <v>120.04801920768308</v>
      </c>
      <c r="F66" s="106">
        <f>B66/1.428</f>
        <v>70.0280112044818</v>
      </c>
      <c r="G66" s="107">
        <f>B66/5</f>
        <v>20</v>
      </c>
      <c r="H66" s="107">
        <f>B66/10</f>
        <v>10</v>
      </c>
      <c r="I66" s="107"/>
      <c r="J66" s="107"/>
      <c r="K66" s="107"/>
      <c r="L66" s="108"/>
      <c r="M66" s="9" t="s">
        <v>11</v>
      </c>
      <c r="N66" s="9" t="s">
        <v>12</v>
      </c>
      <c r="O66" s="9" t="s">
        <v>13</v>
      </c>
      <c r="P66" s="9" t="s">
        <v>4</v>
      </c>
      <c r="R66" s="236"/>
      <c r="S66" s="232"/>
      <c r="T66" s="230"/>
      <c r="U66" s="232"/>
      <c r="V66" s="230"/>
      <c r="W66" s="232"/>
      <c r="X66" s="230"/>
      <c r="Y66" s="232"/>
      <c r="Z66" s="230"/>
      <c r="AA66" s="232"/>
      <c r="AB66" s="232"/>
      <c r="AC66" s="234"/>
      <c r="AD66" s="26">
        <f>VLOOKUP(AC67,R67:AB68,5,0)</f>
        <v>2.3342670401493932</v>
      </c>
      <c r="AE66" s="27">
        <f>VLOOKUP(AC67,R67:AB68,7,0)</f>
        <v>38.347338935574236</v>
      </c>
      <c r="AF66" s="28">
        <f>VLOOKUP(AC67,R67:AB68,9,0)</f>
        <v>5</v>
      </c>
      <c r="AG66" s="29">
        <f>VLOOKUP(AC67,R67:AB68,11,0)</f>
        <v>156.73009648303767</v>
      </c>
    </row>
    <row r="67" spans="1:33">
      <c r="A67" s="103" t="s">
        <v>0</v>
      </c>
      <c r="B67" s="103" t="s">
        <v>1</v>
      </c>
      <c r="C67" s="103" t="s">
        <v>2</v>
      </c>
      <c r="D67" s="104" t="s">
        <v>3</v>
      </c>
      <c r="E67" s="105" t="s">
        <v>4</v>
      </c>
      <c r="F67" s="106" t="s">
        <v>63</v>
      </c>
      <c r="G67" s="107" t="s">
        <v>47</v>
      </c>
      <c r="H67" s="107" t="s">
        <v>51</v>
      </c>
      <c r="I67" s="107"/>
      <c r="J67" s="107"/>
      <c r="K67" s="107"/>
      <c r="L67" s="108"/>
      <c r="M67" s="21">
        <f>F66/30*1</f>
        <v>2.3342670401493932</v>
      </c>
      <c r="N67" s="21">
        <f>F66/30*15+G66/30*5</f>
        <v>38.347338935574236</v>
      </c>
      <c r="O67" s="21">
        <f>H66/10*5</f>
        <v>5</v>
      </c>
      <c r="P67" s="21">
        <f>F66/30*60+G66/30*25+H66/30/45</f>
        <v>156.73009648303767</v>
      </c>
      <c r="R67" s="241" t="str">
        <f>A66</f>
        <v xml:space="preserve">سبزی پلو </v>
      </c>
      <c r="S67" s="238" t="s">
        <v>1</v>
      </c>
      <c r="T67" s="237">
        <f>B66</f>
        <v>100</v>
      </c>
      <c r="U67" s="238" t="s">
        <v>23</v>
      </c>
      <c r="V67" s="237">
        <f t="shared" si="65"/>
        <v>2.3342670401493932</v>
      </c>
      <c r="W67" s="238" t="s">
        <v>24</v>
      </c>
      <c r="X67" s="237">
        <f t="shared" ref="X67" si="130">N67</f>
        <v>38.347338935574236</v>
      </c>
      <c r="Y67" s="238" t="s">
        <v>13</v>
      </c>
      <c r="Z67" s="237">
        <f t="shared" ref="Z67:Z127" si="131">O67</f>
        <v>5</v>
      </c>
      <c r="AA67" s="238" t="s">
        <v>4</v>
      </c>
      <c r="AB67" s="238">
        <f t="shared" ref="AB67" si="132">P67</f>
        <v>156.73009648303767</v>
      </c>
      <c r="AC67" s="239" t="str">
        <f>R67</f>
        <v xml:space="preserve">سبزی پلو </v>
      </c>
      <c r="AD67" s="26" t="s">
        <v>11</v>
      </c>
      <c r="AE67" s="27" t="s">
        <v>12</v>
      </c>
      <c r="AF67" s="28" t="s">
        <v>13</v>
      </c>
      <c r="AG67" s="29" t="s">
        <v>4</v>
      </c>
    </row>
    <row r="68" spans="1:33">
      <c r="A68" s="103" t="s">
        <v>150</v>
      </c>
      <c r="B68" s="103">
        <v>100</v>
      </c>
      <c r="C68" s="103" t="s">
        <v>86</v>
      </c>
      <c r="D68" s="104">
        <f t="shared" ref="D68" si="133">100/10</f>
        <v>10</v>
      </c>
      <c r="E68" s="105">
        <f>B68/0.769</f>
        <v>130.03901170351105</v>
      </c>
      <c r="F68" s="106">
        <f>B68/1.428</f>
        <v>70.0280112044818</v>
      </c>
      <c r="G68" s="107">
        <f>B68/1.66666</f>
        <v>60.000240000960005</v>
      </c>
      <c r="H68" s="107">
        <f>B68/10</f>
        <v>10</v>
      </c>
      <c r="I68" s="107"/>
      <c r="J68" s="107"/>
      <c r="K68" s="107"/>
      <c r="L68" s="108"/>
      <c r="M68" s="9" t="s">
        <v>11</v>
      </c>
      <c r="N68" s="9" t="s">
        <v>12</v>
      </c>
      <c r="O68" s="9" t="s">
        <v>13</v>
      </c>
      <c r="P68" s="9" t="s">
        <v>4</v>
      </c>
      <c r="R68" s="236"/>
      <c r="S68" s="232"/>
      <c r="T68" s="230"/>
      <c r="U68" s="232"/>
      <c r="V68" s="230"/>
      <c r="W68" s="232"/>
      <c r="X68" s="230"/>
      <c r="Y68" s="232"/>
      <c r="Z68" s="230"/>
      <c r="AA68" s="232"/>
      <c r="AB68" s="232"/>
      <c r="AC68" s="234"/>
      <c r="AD68" s="26">
        <f>VLOOKUP(AC69,R69:AB70,5,0)</f>
        <v>4.3342750401813932</v>
      </c>
      <c r="AE68" s="27">
        <f>VLOOKUP(AC69,R69:AB70,7,0)</f>
        <v>45.014045602400898</v>
      </c>
      <c r="AF68" s="28">
        <f>VLOOKUP(AC69,R69:AB70,9,0)</f>
        <v>5</v>
      </c>
      <c r="AG68" s="29">
        <f>VLOOKUP(AC69,R69:AB70,11,0)</f>
        <v>205.05622240976359</v>
      </c>
    </row>
    <row r="69" spans="1:33">
      <c r="A69" s="103" t="s">
        <v>0</v>
      </c>
      <c r="B69" s="103" t="s">
        <v>1</v>
      </c>
      <c r="C69" s="103" t="s">
        <v>2</v>
      </c>
      <c r="D69" s="104" t="s">
        <v>3</v>
      </c>
      <c r="E69" s="105" t="s">
        <v>4</v>
      </c>
      <c r="F69" s="106" t="s">
        <v>63</v>
      </c>
      <c r="G69" s="107" t="s">
        <v>151</v>
      </c>
      <c r="H69" s="107" t="s">
        <v>51</v>
      </c>
      <c r="I69" s="107"/>
      <c r="J69" s="107"/>
      <c r="K69" s="107"/>
      <c r="L69" s="108"/>
      <c r="M69" s="21">
        <f>F68/30*1+G68/30*1</f>
        <v>4.3342750401813932</v>
      </c>
      <c r="N69" s="21">
        <f>F68/30*15+G68/30*5</f>
        <v>45.014045602400898</v>
      </c>
      <c r="O69" s="21">
        <f>H68/10*5</f>
        <v>5</v>
      </c>
      <c r="P69" s="21">
        <f>F68/30*60+G68/30*25+H68/30*45</f>
        <v>205.05622240976359</v>
      </c>
      <c r="R69" s="241" t="str">
        <f>A68</f>
        <v>هویج پلو</v>
      </c>
      <c r="S69" s="238" t="s">
        <v>1</v>
      </c>
      <c r="T69" s="237">
        <f>B68</f>
        <v>100</v>
      </c>
      <c r="U69" s="238" t="s">
        <v>23</v>
      </c>
      <c r="V69" s="237">
        <f t="shared" si="70"/>
        <v>4.3342750401813932</v>
      </c>
      <c r="W69" s="238" t="s">
        <v>24</v>
      </c>
      <c r="X69" s="237">
        <f t="shared" ref="X69" si="134">N69</f>
        <v>45.014045602400898</v>
      </c>
      <c r="Y69" s="238" t="s">
        <v>13</v>
      </c>
      <c r="Z69" s="237">
        <f t="shared" ref="Z69:Z129" si="135">O69</f>
        <v>5</v>
      </c>
      <c r="AA69" s="238" t="s">
        <v>4</v>
      </c>
      <c r="AB69" s="238">
        <f t="shared" ref="AB69" si="136">P69</f>
        <v>205.05622240976359</v>
      </c>
      <c r="AC69" s="239" t="str">
        <f>R69</f>
        <v>هویج پلو</v>
      </c>
      <c r="AD69" s="26" t="s">
        <v>11</v>
      </c>
      <c r="AE69" s="27" t="s">
        <v>12</v>
      </c>
      <c r="AF69" s="28" t="s">
        <v>13</v>
      </c>
      <c r="AG69" s="29" t="s">
        <v>4</v>
      </c>
    </row>
    <row r="70" spans="1:33">
      <c r="A70" s="103" t="s">
        <v>152</v>
      </c>
      <c r="B70" s="103">
        <v>100</v>
      </c>
      <c r="C70" s="103" t="s">
        <v>86</v>
      </c>
      <c r="D70" s="104">
        <f t="shared" ref="D70" si="137">100/10</f>
        <v>10</v>
      </c>
      <c r="E70" s="105">
        <f>B70/0.512</f>
        <v>195.3125</v>
      </c>
      <c r="F70" s="106">
        <f>B70/1.428</f>
        <v>70.0280112044818</v>
      </c>
      <c r="G70" s="107">
        <f>B70/3.33</f>
        <v>30.03003003003003</v>
      </c>
      <c r="H70" s="107">
        <f>B70/10</f>
        <v>10</v>
      </c>
      <c r="I70" s="107"/>
      <c r="J70" s="107"/>
      <c r="K70" s="107"/>
      <c r="L70" s="108"/>
      <c r="M70" s="9" t="s">
        <v>11</v>
      </c>
      <c r="N70" s="9" t="s">
        <v>12</v>
      </c>
      <c r="O70" s="9" t="s">
        <v>13</v>
      </c>
      <c r="P70" s="9" t="s">
        <v>4</v>
      </c>
      <c r="R70" s="236"/>
      <c r="S70" s="232"/>
      <c r="T70" s="230"/>
      <c r="U70" s="232"/>
      <c r="V70" s="230"/>
      <c r="W70" s="232"/>
      <c r="X70" s="230"/>
      <c r="Y70" s="232"/>
      <c r="Z70" s="230"/>
      <c r="AA70" s="232"/>
      <c r="AB70" s="232"/>
      <c r="AC70" s="234"/>
      <c r="AD70" s="26">
        <f>VLOOKUP(AC71,R71:AB72,5,0)</f>
        <v>9.3412740471564017</v>
      </c>
      <c r="AE70" s="27">
        <f>VLOOKUP(AC71,R71:AB72,7,0)</f>
        <v>35.0140056022409</v>
      </c>
      <c r="AF70" s="28">
        <f>VLOOKUP(AC71,R71:AB72,9,0)</f>
        <v>10.005005005005005</v>
      </c>
      <c r="AG70" s="29">
        <f>VLOOKUP(AC71,R71:AB72,11,0)</f>
        <v>210.11107746401865</v>
      </c>
    </row>
    <row r="71" spans="1:33">
      <c r="A71" s="103" t="s">
        <v>0</v>
      </c>
      <c r="B71" s="103" t="s">
        <v>1</v>
      </c>
      <c r="C71" s="103" t="s">
        <v>2</v>
      </c>
      <c r="D71" s="104" t="s">
        <v>3</v>
      </c>
      <c r="E71" s="105" t="s">
        <v>4</v>
      </c>
      <c r="F71" s="106" t="s">
        <v>63</v>
      </c>
      <c r="G71" s="107" t="s">
        <v>50</v>
      </c>
      <c r="H71" s="107" t="s">
        <v>51</v>
      </c>
      <c r="I71" s="107"/>
      <c r="J71" s="107"/>
      <c r="K71" s="107"/>
      <c r="L71" s="108"/>
      <c r="M71" s="21">
        <f>F70/30*1+G70/30*7</f>
        <v>9.3412740471564017</v>
      </c>
      <c r="N71" s="21">
        <f>F70/30*15</f>
        <v>35.0140056022409</v>
      </c>
      <c r="O71" s="21">
        <f>G70/30*5+H70/10*5</f>
        <v>10.005005005005005</v>
      </c>
      <c r="P71" s="21">
        <f>F70/30*60+G70/30*55+H70/30*45</f>
        <v>210.11107746401865</v>
      </c>
      <c r="R71" s="241" t="str">
        <f>A70</f>
        <v>میگو پلو</v>
      </c>
      <c r="S71" s="238" t="s">
        <v>1</v>
      </c>
      <c r="T71" s="237">
        <f>B70</f>
        <v>100</v>
      </c>
      <c r="U71" s="238" t="s">
        <v>23</v>
      </c>
      <c r="V71" s="237">
        <f t="shared" si="75"/>
        <v>9.3412740471564017</v>
      </c>
      <c r="W71" s="238" t="s">
        <v>24</v>
      </c>
      <c r="X71" s="237">
        <f t="shared" ref="X71" si="138">N71</f>
        <v>35.0140056022409</v>
      </c>
      <c r="Y71" s="238" t="s">
        <v>13</v>
      </c>
      <c r="Z71" s="237">
        <f t="shared" ref="Z71:Z131" si="139">O71</f>
        <v>10.005005005005005</v>
      </c>
      <c r="AA71" s="238" t="s">
        <v>4</v>
      </c>
      <c r="AB71" s="238">
        <f t="shared" ref="AB71" si="140">P71</f>
        <v>210.11107746401865</v>
      </c>
      <c r="AC71" s="239" t="str">
        <f>R71</f>
        <v>میگو پلو</v>
      </c>
      <c r="AD71" s="26" t="s">
        <v>11</v>
      </c>
      <c r="AE71" s="27" t="s">
        <v>12</v>
      </c>
      <c r="AF71" s="28" t="s">
        <v>13</v>
      </c>
      <c r="AG71" s="29" t="s">
        <v>4</v>
      </c>
    </row>
    <row r="72" spans="1:33">
      <c r="A72" s="103" t="s">
        <v>153</v>
      </c>
      <c r="B72" s="103">
        <v>100</v>
      </c>
      <c r="C72" s="103" t="s">
        <v>86</v>
      </c>
      <c r="D72" s="104">
        <f t="shared" ref="D72" si="141">100/10</f>
        <v>10</v>
      </c>
      <c r="E72" s="105">
        <f>B72/0.625</f>
        <v>160</v>
      </c>
      <c r="F72" s="106">
        <f>B72/1.428</f>
        <v>70.0280112044818</v>
      </c>
      <c r="G72" s="107">
        <f>B72/1.6666</f>
        <v>60.002400096003839</v>
      </c>
      <c r="H72" s="107">
        <f>B72/10</f>
        <v>10</v>
      </c>
      <c r="I72" s="107"/>
      <c r="J72" s="107"/>
      <c r="K72" s="107"/>
      <c r="L72" s="108"/>
      <c r="M72" s="9" t="s">
        <v>11</v>
      </c>
      <c r="N72" s="9" t="s">
        <v>12</v>
      </c>
      <c r="O72" s="9" t="s">
        <v>13</v>
      </c>
      <c r="P72" s="9" t="s">
        <v>4</v>
      </c>
      <c r="R72" s="236"/>
      <c r="S72" s="232"/>
      <c r="T72" s="230"/>
      <c r="U72" s="232"/>
      <c r="V72" s="230"/>
      <c r="W72" s="232"/>
      <c r="X72" s="230"/>
      <c r="Y72" s="232"/>
      <c r="Z72" s="230"/>
      <c r="AA72" s="232"/>
      <c r="AB72" s="232"/>
      <c r="AC72" s="234"/>
      <c r="AD72" s="26">
        <f>VLOOKUP(AC73,R73:AB74,5,0)</f>
        <v>4.3343470433495206</v>
      </c>
      <c r="AE72" s="27">
        <f>VLOOKUP(AC73,R73:AB74,7,0)</f>
        <v>45.01440561824154</v>
      </c>
      <c r="AF72" s="28">
        <f>VLOOKUP(AC73,R73:AB74,9,0)</f>
        <v>5</v>
      </c>
      <c r="AG72" s="29">
        <f>VLOOKUP(AC73,R73:AB74,11,0)</f>
        <v>205.0580224889668</v>
      </c>
    </row>
    <row r="73" spans="1:33">
      <c r="A73" s="103" t="s">
        <v>0</v>
      </c>
      <c r="B73" s="103" t="s">
        <v>1</v>
      </c>
      <c r="C73" s="103" t="s">
        <v>2</v>
      </c>
      <c r="D73" s="104" t="s">
        <v>3</v>
      </c>
      <c r="E73" s="105" t="s">
        <v>4</v>
      </c>
      <c r="F73" s="106" t="s">
        <v>63</v>
      </c>
      <c r="G73" s="107" t="s">
        <v>154</v>
      </c>
      <c r="H73" s="107" t="s">
        <v>51</v>
      </c>
      <c r="I73" s="107"/>
      <c r="J73" s="107"/>
      <c r="K73" s="107"/>
      <c r="L73" s="108"/>
      <c r="M73" s="21">
        <f>F72/30*1+G72/30*1</f>
        <v>4.3343470433495206</v>
      </c>
      <c r="N73" s="21">
        <f>F72/30*15+G72/30*5</f>
        <v>45.01440561824154</v>
      </c>
      <c r="O73" s="21">
        <f>H72/10*5</f>
        <v>5</v>
      </c>
      <c r="P73" s="21">
        <f>F72/30*60+G72/30*25+H72/30*45</f>
        <v>205.0580224889668</v>
      </c>
      <c r="R73" s="241" t="str">
        <f>A72</f>
        <v>استانبولی پلو(لوبیا سبز)</v>
      </c>
      <c r="S73" s="238" t="s">
        <v>1</v>
      </c>
      <c r="T73" s="237">
        <f>B72</f>
        <v>100</v>
      </c>
      <c r="U73" s="238" t="s">
        <v>23</v>
      </c>
      <c r="V73" s="237">
        <f t="shared" si="80"/>
        <v>4.3343470433495206</v>
      </c>
      <c r="W73" s="238" t="s">
        <v>24</v>
      </c>
      <c r="X73" s="237">
        <f t="shared" ref="X73" si="142">N73</f>
        <v>45.01440561824154</v>
      </c>
      <c r="Y73" s="238" t="s">
        <v>13</v>
      </c>
      <c r="Z73" s="237">
        <f t="shared" ref="Z73:Z133" si="143">O73</f>
        <v>5</v>
      </c>
      <c r="AA73" s="238" t="s">
        <v>4</v>
      </c>
      <c r="AB73" s="238">
        <f t="shared" ref="AB73" si="144">P73</f>
        <v>205.0580224889668</v>
      </c>
      <c r="AC73" s="239" t="str">
        <f>R73</f>
        <v>استانبولی پلو(لوبیا سبز)</v>
      </c>
      <c r="AD73" s="26" t="s">
        <v>11</v>
      </c>
      <c r="AE73" s="27" t="s">
        <v>12</v>
      </c>
      <c r="AF73" s="28" t="s">
        <v>13</v>
      </c>
      <c r="AG73" s="29" t="s">
        <v>4</v>
      </c>
    </row>
    <row r="74" spans="1:33">
      <c r="A74" s="103" t="s">
        <v>155</v>
      </c>
      <c r="B74" s="103">
        <v>100</v>
      </c>
      <c r="C74" s="103" t="s">
        <v>86</v>
      </c>
      <c r="D74" s="104">
        <f t="shared" ref="D74" si="145">100/10</f>
        <v>10</v>
      </c>
      <c r="E74" s="105">
        <f>B74/0.529</f>
        <v>189.03591682419659</v>
      </c>
      <c r="F74" s="106">
        <f>B74/1.42</f>
        <v>70.422535211267615</v>
      </c>
      <c r="G74" s="107">
        <f>B74/3.333</f>
        <v>30.003000300030003</v>
      </c>
      <c r="H74" s="107">
        <f>B74/10</f>
        <v>10</v>
      </c>
      <c r="I74" s="107"/>
      <c r="J74" s="107"/>
      <c r="K74" s="107"/>
      <c r="L74" s="108"/>
      <c r="M74" s="9" t="s">
        <v>11</v>
      </c>
      <c r="N74" s="9" t="s">
        <v>12</v>
      </c>
      <c r="O74" s="9" t="s">
        <v>13</v>
      </c>
      <c r="P74" s="9" t="s">
        <v>4</v>
      </c>
      <c r="R74" s="236"/>
      <c r="S74" s="232"/>
      <c r="T74" s="230"/>
      <c r="U74" s="232"/>
      <c r="V74" s="230"/>
      <c r="W74" s="232"/>
      <c r="X74" s="230"/>
      <c r="Y74" s="232"/>
      <c r="Z74" s="230"/>
      <c r="AA74" s="232"/>
      <c r="AB74" s="232"/>
      <c r="AC74" s="234"/>
      <c r="AD74" s="26">
        <f>VLOOKUP(AC75,R75:AB76,5,0)</f>
        <v>9.3481179103825873</v>
      </c>
      <c r="AE74" s="27">
        <f>VLOOKUP(AC75,R75:AB76,7,0)</f>
        <v>50.212767755648805</v>
      </c>
      <c r="AF74" s="28">
        <f>VLOOKUP(AC75,R75:AB76,9,0)</f>
        <v>5</v>
      </c>
      <c r="AG74" s="29">
        <f>VLOOKUP(AC75,R75:AB76,11,0)</f>
        <v>195.84907082257524</v>
      </c>
    </row>
    <row r="75" spans="1:33">
      <c r="A75" s="103" t="s">
        <v>0</v>
      </c>
      <c r="B75" s="103" t="s">
        <v>1</v>
      </c>
      <c r="C75" s="103" t="s">
        <v>2</v>
      </c>
      <c r="D75" s="104" t="s">
        <v>3</v>
      </c>
      <c r="E75" s="105" t="s">
        <v>4</v>
      </c>
      <c r="F75" s="106" t="s">
        <v>63</v>
      </c>
      <c r="G75" s="107" t="s">
        <v>156</v>
      </c>
      <c r="H75" s="107" t="s">
        <v>5</v>
      </c>
      <c r="I75" s="107" t="s">
        <v>51</v>
      </c>
      <c r="J75" s="107"/>
      <c r="K75" s="107"/>
      <c r="L75" s="108"/>
      <c r="M75" s="21">
        <f>F74/30*1+G74/30*7</f>
        <v>9.3481179103825873</v>
      </c>
      <c r="N75" s="21">
        <f>F74/30*15+G74/30*15</f>
        <v>50.212767755648805</v>
      </c>
      <c r="O75" s="21">
        <f>H74/10*5</f>
        <v>5</v>
      </c>
      <c r="P75" s="21">
        <f>F74/30*60+G74/30*40+H74/30*45</f>
        <v>195.84907082257524</v>
      </c>
      <c r="R75" s="241" t="str">
        <f>A74</f>
        <v>لوبیا پلو( چشم بلبلی)</v>
      </c>
      <c r="S75" s="238" t="s">
        <v>1</v>
      </c>
      <c r="T75" s="237">
        <f>B74</f>
        <v>100</v>
      </c>
      <c r="U75" s="238" t="s">
        <v>23</v>
      </c>
      <c r="V75" s="237">
        <f t="shared" ref="V75" si="146">M75</f>
        <v>9.3481179103825873</v>
      </c>
      <c r="W75" s="238" t="s">
        <v>24</v>
      </c>
      <c r="X75" s="237">
        <f t="shared" ref="X75" si="147">N75</f>
        <v>50.212767755648805</v>
      </c>
      <c r="Y75" s="238" t="s">
        <v>13</v>
      </c>
      <c r="Z75" s="237">
        <f t="shared" ref="Z75:Z135" si="148">O75</f>
        <v>5</v>
      </c>
      <c r="AA75" s="238" t="s">
        <v>4</v>
      </c>
      <c r="AB75" s="238">
        <f t="shared" ref="AB75" si="149">P75</f>
        <v>195.84907082257524</v>
      </c>
      <c r="AC75" s="239" t="str">
        <f>R75</f>
        <v>لوبیا پلو( چشم بلبلی)</v>
      </c>
      <c r="AD75" s="26" t="s">
        <v>11</v>
      </c>
      <c r="AE75" s="27" t="s">
        <v>12</v>
      </c>
      <c r="AF75" s="28" t="s">
        <v>13</v>
      </c>
      <c r="AG75" s="29" t="s">
        <v>4</v>
      </c>
    </row>
    <row r="76" spans="1:33">
      <c r="A76" s="103" t="s">
        <v>157</v>
      </c>
      <c r="B76" s="103">
        <v>100</v>
      </c>
      <c r="C76" s="103" t="s">
        <v>86</v>
      </c>
      <c r="D76" s="104">
        <f t="shared" ref="D76" si="150">100/10</f>
        <v>10</v>
      </c>
      <c r="E76" s="105">
        <f>B76/0.377</f>
        <v>265.25198938992042</v>
      </c>
      <c r="F76" s="106">
        <f>B76/1.42</f>
        <v>70.422535211267615</v>
      </c>
      <c r="G76" s="107">
        <f>B76/3.3333</f>
        <v>30.000300003000032</v>
      </c>
      <c r="H76" s="107">
        <f>B76/1.66</f>
        <v>60.24096385542169</v>
      </c>
      <c r="I76" s="107">
        <f>B76/10</f>
        <v>10</v>
      </c>
      <c r="J76" s="107"/>
      <c r="K76" s="107"/>
      <c r="L76" s="108"/>
      <c r="M76" s="9" t="s">
        <v>11</v>
      </c>
      <c r="N76" s="9" t="s">
        <v>12</v>
      </c>
      <c r="O76" s="9" t="s">
        <v>13</v>
      </c>
      <c r="P76" s="9" t="s">
        <v>4</v>
      </c>
      <c r="R76" s="236"/>
      <c r="S76" s="232"/>
      <c r="T76" s="230"/>
      <c r="U76" s="232"/>
      <c r="V76" s="230"/>
      <c r="W76" s="232"/>
      <c r="X76" s="230"/>
      <c r="Y76" s="232"/>
      <c r="Z76" s="230"/>
      <c r="AA76" s="232"/>
      <c r="AB76" s="232"/>
      <c r="AC76" s="234"/>
      <c r="AD76" s="26">
        <f>VLOOKUP(AC77,R77:AB78,5,0)</f>
        <v>18.411674868488038</v>
      </c>
      <c r="AE76" s="27">
        <f>VLOOKUP(AC77,R77:AB78,7,0)</f>
        <v>40.211317606133811</v>
      </c>
      <c r="AF76" s="28">
        <f>VLOOKUP(AC77,R77:AB78,9,0)</f>
        <v>15.040160642570282</v>
      </c>
      <c r="AG76" s="29">
        <f>VLOOKUP(AC77,R77:AB78,11,0)</f>
        <v>331.44773006358946</v>
      </c>
    </row>
    <row r="77" spans="1:33">
      <c r="A77" s="109" t="s">
        <v>0</v>
      </c>
      <c r="B77" s="109" t="s">
        <v>1</v>
      </c>
      <c r="C77" s="109" t="s">
        <v>2</v>
      </c>
      <c r="D77" s="110" t="s">
        <v>3</v>
      </c>
      <c r="E77" s="111" t="s">
        <v>4</v>
      </c>
      <c r="F77" s="112" t="s">
        <v>5</v>
      </c>
      <c r="G77" s="113" t="s">
        <v>158</v>
      </c>
      <c r="H77" s="113" t="s">
        <v>130</v>
      </c>
      <c r="I77" s="113" t="s">
        <v>51</v>
      </c>
      <c r="J77" s="113"/>
      <c r="K77" s="113"/>
      <c r="L77" s="114"/>
      <c r="M77" s="21">
        <f>F76/30*1+H76/30*8</f>
        <v>18.411674868488038</v>
      </c>
      <c r="N77" s="21">
        <f>F76/30*15+G76/30*5</f>
        <v>40.211317606133811</v>
      </c>
      <c r="O77" s="21">
        <f>H76/30*5+I76/10*5</f>
        <v>15.040160642570282</v>
      </c>
      <c r="P77" s="21">
        <f>F76/30*60+G76/30*25+H76/30*75+I76/30*45</f>
        <v>331.44773006358946</v>
      </c>
      <c r="R77" s="241" t="str">
        <f>A76</f>
        <v>آلبالو پلو</v>
      </c>
      <c r="S77" s="238" t="s">
        <v>1</v>
      </c>
      <c r="T77" s="237">
        <f>B76</f>
        <v>100</v>
      </c>
      <c r="U77" s="238" t="s">
        <v>23</v>
      </c>
      <c r="V77" s="237">
        <f t="shared" si="45"/>
        <v>18.411674868488038</v>
      </c>
      <c r="W77" s="238" t="s">
        <v>24</v>
      </c>
      <c r="X77" s="237">
        <f t="shared" ref="X77" si="151">N77</f>
        <v>40.211317606133811</v>
      </c>
      <c r="Y77" s="238" t="s">
        <v>13</v>
      </c>
      <c r="Z77" s="237">
        <f t="shared" ref="Z77:Z137" si="152">O77</f>
        <v>15.040160642570282</v>
      </c>
      <c r="AA77" s="238" t="s">
        <v>4</v>
      </c>
      <c r="AB77" s="238">
        <f t="shared" ref="AB77" si="153">P77</f>
        <v>331.44773006358946</v>
      </c>
      <c r="AC77" s="239" t="str">
        <f>R77</f>
        <v>آلبالو پلو</v>
      </c>
      <c r="AD77" s="26" t="s">
        <v>11</v>
      </c>
      <c r="AE77" s="27" t="s">
        <v>12</v>
      </c>
      <c r="AF77" s="28" t="s">
        <v>13</v>
      </c>
      <c r="AG77" s="29" t="s">
        <v>4</v>
      </c>
    </row>
    <row r="78" spans="1:33">
      <c r="A78" s="109" t="s">
        <v>159</v>
      </c>
      <c r="B78" s="109">
        <v>200</v>
      </c>
      <c r="C78" s="109" t="s">
        <v>86</v>
      </c>
      <c r="D78" s="110">
        <f>B78/20</f>
        <v>10</v>
      </c>
      <c r="E78" s="111">
        <f>B78/0.653</f>
        <v>306.27871362940277</v>
      </c>
      <c r="F78" s="112">
        <f>B78/1.66</f>
        <v>120.48192771084338</v>
      </c>
      <c r="G78" s="113">
        <f>B78/3.33</f>
        <v>60.06006006006006</v>
      </c>
      <c r="H78" s="113">
        <f>B78/10</f>
        <v>20</v>
      </c>
      <c r="I78" s="113">
        <v>10</v>
      </c>
      <c r="J78" s="113"/>
      <c r="K78" s="113"/>
      <c r="L78" s="114"/>
      <c r="M78" s="9" t="s">
        <v>11</v>
      </c>
      <c r="N78" s="9" t="s">
        <v>12</v>
      </c>
      <c r="O78" s="9" t="s">
        <v>13</v>
      </c>
      <c r="P78" s="9" t="s">
        <v>4</v>
      </c>
      <c r="R78" s="236"/>
      <c r="S78" s="232"/>
      <c r="T78" s="230"/>
      <c r="U78" s="232"/>
      <c r="V78" s="230"/>
      <c r="W78" s="232"/>
      <c r="X78" s="230"/>
      <c r="Y78" s="232"/>
      <c r="Z78" s="230"/>
      <c r="AA78" s="232"/>
      <c r="AB78" s="232"/>
      <c r="AC78" s="234"/>
      <c r="AD78" s="26">
        <f>VLOOKUP(AC79,R79:AB80,5,0)</f>
        <v>32.128514056224901</v>
      </c>
      <c r="AE78" s="27">
        <f>VLOOKUP(AC79,R79:AB80,7,0)</f>
        <v>13.343343343343342</v>
      </c>
      <c r="AF78" s="28">
        <f>VLOOKUP(AC79,R79:AB80,9,0)</f>
        <v>21.746987951807231</v>
      </c>
      <c r="AG78" s="29">
        <f>VLOOKUP(AC79,R79:AB80,11,0)</f>
        <v>391.26487933716851</v>
      </c>
    </row>
    <row r="79" spans="1:33">
      <c r="A79" s="109" t="s">
        <v>0</v>
      </c>
      <c r="B79" s="109" t="s">
        <v>1</v>
      </c>
      <c r="C79" s="109" t="s">
        <v>2</v>
      </c>
      <c r="D79" s="110" t="s">
        <v>3</v>
      </c>
      <c r="E79" s="111" t="s">
        <v>4</v>
      </c>
      <c r="F79" s="112" t="s">
        <v>5</v>
      </c>
      <c r="G79" s="113" t="s">
        <v>160</v>
      </c>
      <c r="H79" s="113" t="s">
        <v>130</v>
      </c>
      <c r="I79" s="113" t="s">
        <v>51</v>
      </c>
      <c r="J79" s="113"/>
      <c r="K79" s="113"/>
      <c r="L79" s="114"/>
      <c r="M79" s="21">
        <f>F78/30*8</f>
        <v>32.128514056224901</v>
      </c>
      <c r="N79" s="21">
        <f>G78/30*5+H78/30*5</f>
        <v>13.343343343343342</v>
      </c>
      <c r="O79" s="21">
        <f>F78/30*5+I78/30*5</f>
        <v>21.746987951807231</v>
      </c>
      <c r="P79" s="21">
        <f>F78/30*75+G78/30*30+H78/100*75+I78/30*45</f>
        <v>391.26487933716851</v>
      </c>
      <c r="R79" s="241" t="str">
        <f>A78</f>
        <v>خورشت آلو بخارا</v>
      </c>
      <c r="S79" s="238" t="s">
        <v>1</v>
      </c>
      <c r="T79" s="237">
        <f>B78</f>
        <v>200</v>
      </c>
      <c r="U79" s="238" t="s">
        <v>23</v>
      </c>
      <c r="V79" s="237">
        <f t="shared" si="50"/>
        <v>32.128514056224901</v>
      </c>
      <c r="W79" s="238" t="s">
        <v>24</v>
      </c>
      <c r="X79" s="237">
        <f t="shared" ref="X79" si="154">N79</f>
        <v>13.343343343343342</v>
      </c>
      <c r="Y79" s="238" t="s">
        <v>13</v>
      </c>
      <c r="Z79" s="237">
        <f t="shared" ref="Z79:Z139" si="155">O79</f>
        <v>21.746987951807231</v>
      </c>
      <c r="AA79" s="238" t="s">
        <v>4</v>
      </c>
      <c r="AB79" s="238">
        <f t="shared" ref="AB79" si="156">P79</f>
        <v>391.26487933716851</v>
      </c>
      <c r="AC79" s="239" t="str">
        <f>R79</f>
        <v>خورشت آلو بخارا</v>
      </c>
      <c r="AD79" s="26" t="s">
        <v>11</v>
      </c>
      <c r="AE79" s="27" t="s">
        <v>12</v>
      </c>
      <c r="AF79" s="28" t="s">
        <v>13</v>
      </c>
      <c r="AG79" s="29" t="s">
        <v>4</v>
      </c>
    </row>
    <row r="80" spans="1:33">
      <c r="A80" s="109" t="s">
        <v>161</v>
      </c>
      <c r="B80" s="109">
        <v>100</v>
      </c>
      <c r="C80" s="109" t="s">
        <v>86</v>
      </c>
      <c r="D80" s="110">
        <f t="shared" ref="D80" si="157">B80/20</f>
        <v>5</v>
      </c>
      <c r="E80" s="111">
        <f>B80/0.904</f>
        <v>110.61946902654867</v>
      </c>
      <c r="F80" s="112">
        <f>B80/1.66</f>
        <v>60.24096385542169</v>
      </c>
      <c r="G80" s="113">
        <f>B80/2.5</f>
        <v>40</v>
      </c>
      <c r="H80" s="113">
        <v>10</v>
      </c>
      <c r="I80" s="113">
        <v>10</v>
      </c>
      <c r="J80" s="113"/>
      <c r="K80" s="113"/>
      <c r="L80" s="114"/>
      <c r="M80" s="9" t="s">
        <v>11</v>
      </c>
      <c r="N80" s="9" t="s">
        <v>12</v>
      </c>
      <c r="O80" s="9" t="s">
        <v>13</v>
      </c>
      <c r="P80" s="9" t="s">
        <v>4</v>
      </c>
      <c r="R80" s="236"/>
      <c r="S80" s="232"/>
      <c r="T80" s="230"/>
      <c r="U80" s="232"/>
      <c r="V80" s="230"/>
      <c r="W80" s="232"/>
      <c r="X80" s="230"/>
      <c r="Y80" s="232"/>
      <c r="Z80" s="230"/>
      <c r="AA80" s="232"/>
      <c r="AB80" s="232"/>
      <c r="AC80" s="234"/>
      <c r="AD80" s="26">
        <f>VLOOKUP(AC81,R81:AB82,5,0)</f>
        <v>16.064257028112451</v>
      </c>
      <c r="AE80" s="27">
        <f>VLOOKUP(AC81,R81:AB82,7,0)</f>
        <v>6.6666666666666661</v>
      </c>
      <c r="AF80" s="28">
        <f>VLOOKUP(AC81,R81:AB82,9,0)</f>
        <v>11.706827309236948</v>
      </c>
      <c r="AG80" s="29">
        <f>VLOOKUP(AC81,R81:AB82,11,0)</f>
        <v>166.27510040160644</v>
      </c>
    </row>
    <row r="81" spans="1:33">
      <c r="A81" s="109" t="s">
        <v>0</v>
      </c>
      <c r="B81" s="109" t="s">
        <v>1</v>
      </c>
      <c r="C81" s="109" t="s">
        <v>2</v>
      </c>
      <c r="D81" s="110" t="s">
        <v>3</v>
      </c>
      <c r="E81" s="111" t="s">
        <v>4</v>
      </c>
      <c r="F81" s="112" t="s">
        <v>5</v>
      </c>
      <c r="G81" s="113" t="s">
        <v>162</v>
      </c>
      <c r="H81" s="113" t="s">
        <v>130</v>
      </c>
      <c r="I81" s="113" t="s">
        <v>51</v>
      </c>
      <c r="J81" s="113"/>
      <c r="K81" s="113"/>
      <c r="L81" s="114"/>
      <c r="M81" s="21">
        <f>F80/30*8</f>
        <v>16.064257028112451</v>
      </c>
      <c r="N81" s="21">
        <f>G80/30*5</f>
        <v>6.6666666666666661</v>
      </c>
      <c r="O81" s="21">
        <f>F80/30*5+I80/30*5</f>
        <v>11.706827309236948</v>
      </c>
      <c r="P81" s="21">
        <f>F80/30*55+G80/30*25+H80/100*75+I80/30*45</f>
        <v>166.27510040160644</v>
      </c>
      <c r="R81" s="241" t="str">
        <f>A80</f>
        <v>خورشت کنگر</v>
      </c>
      <c r="S81" s="238" t="s">
        <v>1</v>
      </c>
      <c r="T81" s="237">
        <f>B80</f>
        <v>100</v>
      </c>
      <c r="U81" s="238" t="s">
        <v>23</v>
      </c>
      <c r="V81" s="237">
        <f t="shared" si="55"/>
        <v>16.064257028112451</v>
      </c>
      <c r="W81" s="238" t="s">
        <v>24</v>
      </c>
      <c r="X81" s="237">
        <f t="shared" ref="X81" si="158">N81</f>
        <v>6.6666666666666661</v>
      </c>
      <c r="Y81" s="238" t="s">
        <v>13</v>
      </c>
      <c r="Z81" s="237">
        <f t="shared" ref="Z81:Z141" si="159">O81</f>
        <v>11.706827309236948</v>
      </c>
      <c r="AA81" s="238" t="s">
        <v>4</v>
      </c>
      <c r="AB81" s="238">
        <f t="shared" ref="AB81" si="160">P81</f>
        <v>166.27510040160644</v>
      </c>
      <c r="AC81" s="239" t="str">
        <f>R81</f>
        <v>خورشت کنگر</v>
      </c>
      <c r="AD81" s="26" t="s">
        <v>11</v>
      </c>
      <c r="AE81" s="27" t="s">
        <v>12</v>
      </c>
      <c r="AF81" s="28" t="s">
        <v>13</v>
      </c>
      <c r="AG81" s="29" t="s">
        <v>4</v>
      </c>
    </row>
    <row r="82" spans="1:33">
      <c r="A82" s="109" t="s">
        <v>163</v>
      </c>
      <c r="B82" s="109">
        <v>100</v>
      </c>
      <c r="C82" s="109" t="s">
        <v>86</v>
      </c>
      <c r="D82" s="110">
        <f t="shared" ref="D82" si="161">B82/20</f>
        <v>5</v>
      </c>
      <c r="E82" s="111">
        <f>P83</f>
        <v>211.01907630522089</v>
      </c>
      <c r="F82" s="112">
        <f>B82/1.66</f>
        <v>60.24096385542169</v>
      </c>
      <c r="G82" s="113">
        <f>B82/2</f>
        <v>50</v>
      </c>
      <c r="H82" s="113">
        <f>B82/20</f>
        <v>5</v>
      </c>
      <c r="I82" s="113">
        <v>10</v>
      </c>
      <c r="J82" s="113"/>
      <c r="K82" s="113"/>
      <c r="L82" s="114"/>
      <c r="M82" s="9" t="s">
        <v>11</v>
      </c>
      <c r="N82" s="9" t="s">
        <v>12</v>
      </c>
      <c r="O82" s="9" t="s">
        <v>13</v>
      </c>
      <c r="P82" s="9" t="s">
        <v>4</v>
      </c>
      <c r="R82" s="236"/>
      <c r="S82" s="232"/>
      <c r="T82" s="230"/>
      <c r="U82" s="232"/>
      <c r="V82" s="230"/>
      <c r="W82" s="232"/>
      <c r="X82" s="230"/>
      <c r="Y82" s="232"/>
      <c r="Z82" s="230"/>
      <c r="AA82" s="232"/>
      <c r="AB82" s="232"/>
      <c r="AC82" s="234"/>
      <c r="AD82" s="26">
        <f>VLOOKUP(AC83,R83:AB84,5,0)</f>
        <v>16.064257028112451</v>
      </c>
      <c r="AE82" s="27">
        <f>VLOOKUP(AC83,R83:AB84,7,0)</f>
        <v>9.1666666666666679</v>
      </c>
      <c r="AF82" s="28">
        <f>VLOOKUP(AC83,R83:AB84,9,0)</f>
        <v>11.706827309236948</v>
      </c>
      <c r="AG82" s="29">
        <f>VLOOKUP(AC83,R83:AB84,11,0)</f>
        <v>211.01907630522089</v>
      </c>
    </row>
    <row r="83" spans="1:33">
      <c r="A83" s="109" t="s">
        <v>0</v>
      </c>
      <c r="B83" s="109" t="s">
        <v>1</v>
      </c>
      <c r="C83" s="109" t="s">
        <v>2</v>
      </c>
      <c r="D83" s="110" t="s">
        <v>3</v>
      </c>
      <c r="E83" s="111" t="s">
        <v>4</v>
      </c>
      <c r="F83" s="112" t="s">
        <v>5</v>
      </c>
      <c r="G83" s="113" t="s">
        <v>164</v>
      </c>
      <c r="H83" s="113" t="s">
        <v>165</v>
      </c>
      <c r="I83" s="113" t="s">
        <v>51</v>
      </c>
      <c r="J83" s="113"/>
      <c r="K83" s="113"/>
      <c r="L83" s="114"/>
      <c r="M83" s="21">
        <f>F82/30*8</f>
        <v>16.064257028112451</v>
      </c>
      <c r="N83" s="21">
        <f>G82/30*5+H82/30*5</f>
        <v>9.1666666666666679</v>
      </c>
      <c r="O83" s="21">
        <f>F82/30*5+I82/30*5</f>
        <v>11.706827309236948</v>
      </c>
      <c r="P83" s="21">
        <f>I82/30*45+H82/100*75+G82/30*25+F82/30*75</f>
        <v>211.01907630522089</v>
      </c>
      <c r="R83" s="241" t="str">
        <f>A82</f>
        <v>خورشت بادمجان</v>
      </c>
      <c r="S83" s="238" t="s">
        <v>1</v>
      </c>
      <c r="T83" s="237">
        <f>B82</f>
        <v>100</v>
      </c>
      <c r="U83" s="238" t="s">
        <v>23</v>
      </c>
      <c r="V83" s="237">
        <f t="shared" si="60"/>
        <v>16.064257028112451</v>
      </c>
      <c r="W83" s="238" t="s">
        <v>24</v>
      </c>
      <c r="X83" s="237">
        <f t="shared" ref="X83" si="162">N83</f>
        <v>9.1666666666666679</v>
      </c>
      <c r="Y83" s="238" t="s">
        <v>13</v>
      </c>
      <c r="Z83" s="237">
        <f t="shared" ref="Z83:Z143" si="163">O83</f>
        <v>11.706827309236948</v>
      </c>
      <c r="AA83" s="238" t="s">
        <v>4</v>
      </c>
      <c r="AB83" s="238">
        <f t="shared" ref="AB83" si="164">P83</f>
        <v>211.01907630522089</v>
      </c>
      <c r="AC83" s="239" t="str">
        <f>R83</f>
        <v>خورشت بادمجان</v>
      </c>
      <c r="AD83" s="26" t="s">
        <v>11</v>
      </c>
      <c r="AE83" s="27" t="s">
        <v>12</v>
      </c>
      <c r="AF83" s="28" t="s">
        <v>13</v>
      </c>
      <c r="AG83" s="29" t="s">
        <v>4</v>
      </c>
    </row>
    <row r="84" spans="1:33">
      <c r="A84" s="109" t="s">
        <v>166</v>
      </c>
      <c r="B84" s="109">
        <v>100</v>
      </c>
      <c r="C84" s="109" t="s">
        <v>86</v>
      </c>
      <c r="D84" s="110">
        <f t="shared" ref="D84" si="165">B84/20</f>
        <v>5</v>
      </c>
      <c r="E84" s="111">
        <f>P85</f>
        <v>190.18574297188758</v>
      </c>
      <c r="F84" s="112">
        <f>B84/1.66</f>
        <v>60.24096385542169</v>
      </c>
      <c r="G84" s="113">
        <f>B84/4</f>
        <v>25</v>
      </c>
      <c r="H84" s="113">
        <f>B84/20</f>
        <v>5</v>
      </c>
      <c r="I84" s="113">
        <v>10</v>
      </c>
      <c r="J84" s="113"/>
      <c r="K84" s="113"/>
      <c r="L84" s="114"/>
      <c r="M84" s="9" t="s">
        <v>11</v>
      </c>
      <c r="N84" s="9" t="s">
        <v>12</v>
      </c>
      <c r="O84" s="9" t="s">
        <v>13</v>
      </c>
      <c r="P84" s="9" t="s">
        <v>4</v>
      </c>
      <c r="R84" s="236"/>
      <c r="S84" s="232"/>
      <c r="T84" s="230"/>
      <c r="U84" s="232"/>
      <c r="V84" s="230"/>
      <c r="W84" s="232"/>
      <c r="X84" s="230"/>
      <c r="Y84" s="232"/>
      <c r="Z84" s="230"/>
      <c r="AA84" s="232"/>
      <c r="AB84" s="232"/>
      <c r="AC84" s="234"/>
      <c r="AD84" s="26">
        <f>VLOOKUP(AC85,R85:AB86,5,0)</f>
        <v>16.064257028112451</v>
      </c>
      <c r="AE84" s="27">
        <f>VLOOKUP(AC85,R85:AB86,7,0)</f>
        <v>5</v>
      </c>
      <c r="AF84" s="28">
        <f>VLOOKUP(AC85,R85:AB86,9,0)</f>
        <v>11.706827309236948</v>
      </c>
      <c r="AG84" s="29">
        <f>VLOOKUP(AC85,R85:AB86,11,0)</f>
        <v>190.18574297188758</v>
      </c>
    </row>
    <row r="85" spans="1:33">
      <c r="A85" s="109" t="s">
        <v>0</v>
      </c>
      <c r="B85" s="109" t="s">
        <v>1</v>
      </c>
      <c r="C85" s="109" t="s">
        <v>2</v>
      </c>
      <c r="D85" s="110" t="s">
        <v>3</v>
      </c>
      <c r="E85" s="111" t="s">
        <v>4</v>
      </c>
      <c r="F85" s="112" t="s">
        <v>5</v>
      </c>
      <c r="G85" s="113" t="s">
        <v>167</v>
      </c>
      <c r="H85" s="113" t="s">
        <v>130</v>
      </c>
      <c r="I85" s="113" t="s">
        <v>51</v>
      </c>
      <c r="J85" s="113"/>
      <c r="K85" s="113"/>
      <c r="L85" s="114"/>
      <c r="M85" s="21">
        <f>F84/30*8</f>
        <v>16.064257028112451</v>
      </c>
      <c r="N85" s="21">
        <f>G84/30*5+H84/30*5</f>
        <v>5</v>
      </c>
      <c r="O85" s="21">
        <f>F84/30*5+I84/30*5</f>
        <v>11.706827309236948</v>
      </c>
      <c r="P85" s="21">
        <f>I84/30*45+H84/100*75+G84/30*25+F84/30*75</f>
        <v>190.18574297188758</v>
      </c>
      <c r="R85" s="241" t="str">
        <f>A84</f>
        <v>خورشت بامیه</v>
      </c>
      <c r="S85" s="238" t="s">
        <v>1</v>
      </c>
      <c r="T85" s="237">
        <f>B84</f>
        <v>100</v>
      </c>
      <c r="U85" s="238" t="s">
        <v>23</v>
      </c>
      <c r="V85" s="237">
        <f t="shared" si="65"/>
        <v>16.064257028112451</v>
      </c>
      <c r="W85" s="238" t="s">
        <v>24</v>
      </c>
      <c r="X85" s="237">
        <f t="shared" ref="X85" si="166">N85</f>
        <v>5</v>
      </c>
      <c r="Y85" s="238" t="s">
        <v>13</v>
      </c>
      <c r="Z85" s="237">
        <f t="shared" ref="Z85:Z145" si="167">O85</f>
        <v>11.706827309236948</v>
      </c>
      <c r="AA85" s="238" t="s">
        <v>4</v>
      </c>
      <c r="AB85" s="238">
        <f t="shared" ref="AB85" si="168">P85</f>
        <v>190.18574297188758</v>
      </c>
      <c r="AC85" s="239" t="str">
        <f>R85</f>
        <v>خورشت بامیه</v>
      </c>
      <c r="AD85" s="26" t="s">
        <v>11</v>
      </c>
      <c r="AE85" s="27" t="s">
        <v>12</v>
      </c>
      <c r="AF85" s="28" t="s">
        <v>13</v>
      </c>
      <c r="AG85" s="29" t="s">
        <v>4</v>
      </c>
    </row>
    <row r="86" spans="1:33" ht="22.5" customHeight="1">
      <c r="A86" s="109" t="s">
        <v>168</v>
      </c>
      <c r="B86" s="109">
        <v>100</v>
      </c>
      <c r="C86" s="109" t="s">
        <v>86</v>
      </c>
      <c r="D86" s="110">
        <f t="shared" ref="D86" si="169">B86/20</f>
        <v>5</v>
      </c>
      <c r="E86" s="111">
        <f>B86/0.515463</f>
        <v>194.00034532061466</v>
      </c>
      <c r="F86" s="112">
        <f>B86/1.66</f>
        <v>60.24096385542169</v>
      </c>
      <c r="G86" s="113">
        <f>B86/3.33</f>
        <v>30.03003003003003</v>
      </c>
      <c r="H86" s="113">
        <f>B86/20</f>
        <v>5</v>
      </c>
      <c r="I86" s="113">
        <v>10</v>
      </c>
      <c r="J86" s="113"/>
      <c r="K86" s="113"/>
      <c r="L86" s="114"/>
      <c r="M86" s="9" t="s">
        <v>11</v>
      </c>
      <c r="N86" s="9" t="s">
        <v>12</v>
      </c>
      <c r="O86" s="9" t="s">
        <v>13</v>
      </c>
      <c r="P86" s="9" t="s">
        <v>4</v>
      </c>
      <c r="R86" s="236"/>
      <c r="S86" s="232"/>
      <c r="T86" s="230"/>
      <c r="U86" s="232"/>
      <c r="V86" s="230"/>
      <c r="W86" s="232"/>
      <c r="X86" s="230"/>
      <c r="Y86" s="232"/>
      <c r="Z86" s="230"/>
      <c r="AA86" s="232"/>
      <c r="AB86" s="232"/>
      <c r="AC86" s="234"/>
      <c r="AD86" s="26">
        <f>VLOOKUP(AC87,R87:AB88,5,0)</f>
        <v>17.065258029113451</v>
      </c>
      <c r="AE86" s="27">
        <f>VLOOKUP(AC87,R87:AB88,7,0)</f>
        <v>5.838338338338338</v>
      </c>
      <c r="AF86" s="28">
        <f>VLOOKUP(AC87,R87:AB88,9,0)</f>
        <v>11.706827309236948</v>
      </c>
      <c r="AG86" s="29">
        <f>VLOOKUP(AC87,R87:AB88,11,0)</f>
        <v>194.37743466357927</v>
      </c>
    </row>
    <row r="87" spans="1:33" ht="23.25" customHeight="1">
      <c r="A87" s="109" t="s">
        <v>0</v>
      </c>
      <c r="B87" s="109" t="s">
        <v>1</v>
      </c>
      <c r="C87" s="109" t="s">
        <v>2</v>
      </c>
      <c r="D87" s="110" t="s">
        <v>3</v>
      </c>
      <c r="E87" s="111" t="s">
        <v>4</v>
      </c>
      <c r="F87" s="112" t="s">
        <v>26</v>
      </c>
      <c r="G87" s="113" t="s">
        <v>40</v>
      </c>
      <c r="H87" s="113" t="s">
        <v>169</v>
      </c>
      <c r="I87" s="113" t="s">
        <v>51</v>
      </c>
      <c r="J87" s="113"/>
      <c r="K87" s="113"/>
      <c r="L87" s="114"/>
      <c r="M87" s="21">
        <f>F86/30*8+G86/30*1</f>
        <v>17.065258029113451</v>
      </c>
      <c r="N87" s="21">
        <f>G86/30*5+H86/30*5</f>
        <v>5.838338338338338</v>
      </c>
      <c r="O87" s="21">
        <f>F86/30*5+I86/30*5</f>
        <v>11.706827309236948</v>
      </c>
      <c r="P87" s="21">
        <f>F86/30*75+G86/30*25+H86/100*75+I86/30*45</f>
        <v>194.37743466357927</v>
      </c>
      <c r="R87" s="241" t="str">
        <f>A86</f>
        <v>خورشت به</v>
      </c>
      <c r="S87" s="238" t="s">
        <v>1</v>
      </c>
      <c r="T87" s="237">
        <f>B86</f>
        <v>100</v>
      </c>
      <c r="U87" s="238" t="s">
        <v>23</v>
      </c>
      <c r="V87" s="237">
        <f t="shared" si="70"/>
        <v>17.065258029113451</v>
      </c>
      <c r="W87" s="238" t="s">
        <v>24</v>
      </c>
      <c r="X87" s="237">
        <f t="shared" ref="X87" si="170">N87</f>
        <v>5.838338338338338</v>
      </c>
      <c r="Y87" s="238" t="s">
        <v>13</v>
      </c>
      <c r="Z87" s="237">
        <f t="shared" ref="Z87:Z147" si="171">O87</f>
        <v>11.706827309236948</v>
      </c>
      <c r="AA87" s="238" t="s">
        <v>4</v>
      </c>
      <c r="AB87" s="238">
        <f t="shared" ref="AB87" si="172">P87</f>
        <v>194.37743466357927</v>
      </c>
      <c r="AC87" s="239" t="str">
        <f>R87</f>
        <v>خورشت به</v>
      </c>
      <c r="AD87" s="26" t="s">
        <v>11</v>
      </c>
      <c r="AE87" s="27" t="s">
        <v>12</v>
      </c>
      <c r="AF87" s="28" t="s">
        <v>13</v>
      </c>
      <c r="AG87" s="29" t="s">
        <v>4</v>
      </c>
    </row>
    <row r="88" spans="1:33">
      <c r="A88" s="109" t="s">
        <v>170</v>
      </c>
      <c r="B88" s="109">
        <v>100</v>
      </c>
      <c r="C88" s="109" t="s">
        <v>86</v>
      </c>
      <c r="D88" s="110">
        <f t="shared" ref="D88" si="173">B88/20</f>
        <v>5</v>
      </c>
      <c r="E88" s="111">
        <f>B88/0.3401</f>
        <v>294.03116730373421</v>
      </c>
      <c r="F88" s="112">
        <f>B88/1.66</f>
        <v>60.24096385542169</v>
      </c>
      <c r="G88" s="113">
        <f>B88/1.428</f>
        <v>70.0280112044818</v>
      </c>
      <c r="H88" s="113">
        <f>B88/5</f>
        <v>20</v>
      </c>
      <c r="I88" s="113">
        <v>10</v>
      </c>
      <c r="J88" s="113"/>
      <c r="K88" s="113"/>
      <c r="L88" s="114"/>
      <c r="M88" s="9" t="s">
        <v>11</v>
      </c>
      <c r="N88" s="9" t="s">
        <v>12</v>
      </c>
      <c r="O88" s="9" t="s">
        <v>13</v>
      </c>
      <c r="P88" s="9" t="s">
        <v>4</v>
      </c>
      <c r="R88" s="236"/>
      <c r="S88" s="232"/>
      <c r="T88" s="230"/>
      <c r="U88" s="232"/>
      <c r="V88" s="230"/>
      <c r="W88" s="232"/>
      <c r="X88" s="230"/>
      <c r="Y88" s="232"/>
      <c r="Z88" s="230"/>
      <c r="AA88" s="232"/>
      <c r="AB88" s="232"/>
      <c r="AC88" s="234"/>
      <c r="AD88" s="26">
        <f>VLOOKUP(AC89,R89:AB90,5,0)</f>
        <v>16.390491939747786</v>
      </c>
      <c r="AE88" s="27">
        <f>VLOOKUP(AC89,R89:AB90,7,0)</f>
        <v>11.200000000000001</v>
      </c>
      <c r="AF88" s="28">
        <f>VLOOKUP(AC89,R89:AB90,9,0)</f>
        <v>23.378162509983916</v>
      </c>
      <c r="AG88" s="29">
        <f>VLOOKUP(AC89,R89:AB90,11,0)</f>
        <v>293.8264542764897</v>
      </c>
    </row>
    <row r="89" spans="1:33">
      <c r="A89" s="109" t="s">
        <v>0</v>
      </c>
      <c r="B89" s="109" t="s">
        <v>1</v>
      </c>
      <c r="C89" s="109" t="s">
        <v>2</v>
      </c>
      <c r="D89" s="110" t="s">
        <v>3</v>
      </c>
      <c r="E89" s="111" t="s">
        <v>4</v>
      </c>
      <c r="F89" s="112" t="s">
        <v>5</v>
      </c>
      <c r="G89" s="113" t="s">
        <v>171</v>
      </c>
      <c r="H89" s="113" t="s">
        <v>130</v>
      </c>
      <c r="I89" s="113" t="s">
        <v>51</v>
      </c>
      <c r="J89" s="113" t="s">
        <v>140</v>
      </c>
      <c r="K89" s="113"/>
      <c r="L89" s="114"/>
      <c r="M89" s="21">
        <f>F88/30*7+G88/30*1</f>
        <v>16.390491939747786</v>
      </c>
      <c r="N89" s="21">
        <f>H88/100*56</f>
        <v>11.200000000000001</v>
      </c>
      <c r="O89" s="21">
        <f>F88/30*5+G88/30*5+I88/30*5</f>
        <v>23.378162509983916</v>
      </c>
      <c r="P89" s="21">
        <f>F88/30*55+G88/30*55+H88/100*200+I88/30*45</f>
        <v>293.8264542764897</v>
      </c>
      <c r="R89" s="241" t="str">
        <f>A88</f>
        <v>خورشت فسنجان</v>
      </c>
      <c r="S89" s="238" t="s">
        <v>1</v>
      </c>
      <c r="T89" s="237">
        <f>B88</f>
        <v>100</v>
      </c>
      <c r="U89" s="238" t="s">
        <v>23</v>
      </c>
      <c r="V89" s="237">
        <f t="shared" si="75"/>
        <v>16.390491939747786</v>
      </c>
      <c r="W89" s="238" t="s">
        <v>24</v>
      </c>
      <c r="X89" s="237">
        <f t="shared" ref="X89" si="174">N89</f>
        <v>11.200000000000001</v>
      </c>
      <c r="Y89" s="238" t="s">
        <v>13</v>
      </c>
      <c r="Z89" s="237">
        <f t="shared" ref="Z89:Z149" si="175">O89</f>
        <v>23.378162509983916</v>
      </c>
      <c r="AA89" s="238" t="s">
        <v>4</v>
      </c>
      <c r="AB89" s="238">
        <f t="shared" ref="AB89" si="176">P89</f>
        <v>293.8264542764897</v>
      </c>
      <c r="AC89" s="239" t="str">
        <f>R89</f>
        <v>خورشت فسنجان</v>
      </c>
      <c r="AD89" s="26" t="s">
        <v>11</v>
      </c>
      <c r="AE89" s="27" t="s">
        <v>12</v>
      </c>
      <c r="AF89" s="28" t="s">
        <v>13</v>
      </c>
      <c r="AG89" s="29" t="s">
        <v>4</v>
      </c>
    </row>
    <row r="90" spans="1:33">
      <c r="A90" s="109" t="s">
        <v>172</v>
      </c>
      <c r="B90" s="109">
        <v>100</v>
      </c>
      <c r="C90" s="109" t="s">
        <v>86</v>
      </c>
      <c r="D90" s="110">
        <f t="shared" ref="D90" si="177">B90/20</f>
        <v>5</v>
      </c>
      <c r="E90" s="111">
        <f>B90/0.3846</f>
        <v>260.01040041601664</v>
      </c>
      <c r="F90" s="112">
        <f>B90/1.66</f>
        <v>60.24096385542169</v>
      </c>
      <c r="G90" s="113">
        <f>B90/1.66</f>
        <v>60.24096385542169</v>
      </c>
      <c r="H90" s="113">
        <f>B90/20</f>
        <v>5</v>
      </c>
      <c r="I90" s="113">
        <v>10</v>
      </c>
      <c r="J90" s="113">
        <f>B90/3.33</f>
        <v>30.03003003003003</v>
      </c>
      <c r="K90" s="113"/>
      <c r="L90" s="114"/>
      <c r="M90" s="9" t="s">
        <v>11</v>
      </c>
      <c r="N90" s="9" t="s">
        <v>12</v>
      </c>
      <c r="O90" s="9" t="s">
        <v>13</v>
      </c>
      <c r="P90" s="9" t="s">
        <v>4</v>
      </c>
      <c r="R90" s="236"/>
      <c r="S90" s="232"/>
      <c r="T90" s="230"/>
      <c r="U90" s="232"/>
      <c r="V90" s="230"/>
      <c r="W90" s="232"/>
      <c r="X90" s="230"/>
      <c r="Y90" s="232"/>
      <c r="Z90" s="230"/>
      <c r="AA90" s="232"/>
      <c r="AB90" s="232"/>
      <c r="AC90" s="234"/>
      <c r="AD90" s="26">
        <f>VLOOKUP(AC91,R91:AB92,5,0)</f>
        <v>23.071264035119459</v>
      </c>
      <c r="AE90" s="27">
        <f>VLOOKUP(AC91,R91:AB92,7,0)</f>
        <v>25.888508990918631</v>
      </c>
      <c r="AF90" s="28">
        <f>VLOOKUP(AC91,R91:AB92,9,0)</f>
        <v>11.706827309236948</v>
      </c>
      <c r="AG90" s="29">
        <f>VLOOKUP(AC91,R91:AB92,11,0)</f>
        <v>259.59325289144567</v>
      </c>
    </row>
    <row r="91" spans="1:33">
      <c r="A91" s="109" t="s">
        <v>0</v>
      </c>
      <c r="B91" s="109" t="s">
        <v>1</v>
      </c>
      <c r="C91" s="109" t="s">
        <v>2</v>
      </c>
      <c r="D91" s="110" t="s">
        <v>3</v>
      </c>
      <c r="E91" s="111" t="s">
        <v>4</v>
      </c>
      <c r="F91" s="112" t="s">
        <v>5</v>
      </c>
      <c r="G91" s="113" t="s">
        <v>27</v>
      </c>
      <c r="H91" s="113" t="s">
        <v>51</v>
      </c>
      <c r="I91" s="113" t="s">
        <v>130</v>
      </c>
      <c r="J91" s="113"/>
      <c r="K91" s="113"/>
      <c r="L91" s="114"/>
      <c r="M91" s="21">
        <f>F90/30*7+G90/30*1+J90/30*7</f>
        <v>23.071264035119459</v>
      </c>
      <c r="N91" s="21">
        <f>G90/30*5+J90/30*15+H90/30*5</f>
        <v>25.888508990918631</v>
      </c>
      <c r="O91" s="21">
        <f>I90/30*5+F90/30*5</f>
        <v>11.706827309236948</v>
      </c>
      <c r="P91" s="21">
        <f>J90/30*40+I90/30*45+H90/100*75+G90/30*25+F90/30*75</f>
        <v>259.59325289144567</v>
      </c>
      <c r="R91" s="241" t="str">
        <f>A90</f>
        <v>خورشت قورمه سبزی</v>
      </c>
      <c r="S91" s="238" t="s">
        <v>1</v>
      </c>
      <c r="T91" s="237">
        <f>B90</f>
        <v>100</v>
      </c>
      <c r="U91" s="238" t="s">
        <v>23</v>
      </c>
      <c r="V91" s="237">
        <f t="shared" si="80"/>
        <v>23.071264035119459</v>
      </c>
      <c r="W91" s="238" t="s">
        <v>24</v>
      </c>
      <c r="X91" s="237">
        <f t="shared" ref="X91" si="178">N91</f>
        <v>25.888508990918631</v>
      </c>
      <c r="Y91" s="238" t="s">
        <v>13</v>
      </c>
      <c r="Z91" s="237">
        <f t="shared" ref="Z91:Z151" si="179">O91</f>
        <v>11.706827309236948</v>
      </c>
      <c r="AA91" s="238" t="s">
        <v>4</v>
      </c>
      <c r="AB91" s="238">
        <f t="shared" ref="AB91" si="180">P91</f>
        <v>259.59325289144567</v>
      </c>
      <c r="AC91" s="239" t="str">
        <f>R91</f>
        <v>خورشت قورمه سبزی</v>
      </c>
      <c r="AD91" s="26" t="s">
        <v>11</v>
      </c>
      <c r="AE91" s="27" t="s">
        <v>12</v>
      </c>
      <c r="AF91" s="28" t="s">
        <v>13</v>
      </c>
      <c r="AG91" s="29" t="s">
        <v>4</v>
      </c>
    </row>
    <row r="92" spans="1:33">
      <c r="A92" s="109" t="s">
        <v>173</v>
      </c>
      <c r="B92" s="109">
        <v>100</v>
      </c>
      <c r="C92" s="109" t="s">
        <v>86</v>
      </c>
      <c r="D92" s="110">
        <f t="shared" ref="D92" si="181">B92/20</f>
        <v>5</v>
      </c>
      <c r="E92" s="111">
        <f>B92/0.476</f>
        <v>210.0840336134454</v>
      </c>
      <c r="F92" s="112">
        <f>B92/1.66</f>
        <v>60.24096385542169</v>
      </c>
      <c r="G92" s="113">
        <f>B92/3.3</f>
        <v>30.303030303030305</v>
      </c>
      <c r="H92" s="113">
        <f>B92/10</f>
        <v>10</v>
      </c>
      <c r="I92" s="113">
        <f>B92/6.66</f>
        <v>15.015015015015015</v>
      </c>
      <c r="J92" s="113"/>
      <c r="K92" s="113"/>
      <c r="L92" s="114"/>
      <c r="M92" s="9" t="s">
        <v>11</v>
      </c>
      <c r="N92" s="9" t="s">
        <v>12</v>
      </c>
      <c r="O92" s="9" t="s">
        <v>13</v>
      </c>
      <c r="P92" s="9" t="s">
        <v>4</v>
      </c>
      <c r="R92" s="236"/>
      <c r="S92" s="232"/>
      <c r="T92" s="230"/>
      <c r="U92" s="232"/>
      <c r="V92" s="230"/>
      <c r="W92" s="232"/>
      <c r="X92" s="230"/>
      <c r="Y92" s="232"/>
      <c r="Z92" s="230"/>
      <c r="AA92" s="232"/>
      <c r="AB92" s="232"/>
      <c r="AC92" s="234"/>
      <c r="AD92" s="26">
        <f>VLOOKUP(AC93,R93:AB94,5,0)</f>
        <v>21.126931970305463</v>
      </c>
      <c r="AE92" s="27">
        <f>VLOOKUP(AC93,R93:AB94,7,0)</f>
        <v>17.654017654017654</v>
      </c>
      <c r="AF92" s="28">
        <f>VLOOKUP(AC93,R93:AB94,9,0)</f>
        <v>10.240160642570281</v>
      </c>
      <c r="AG92" s="29">
        <f>VLOOKUP(AC93,R93:AB94,11,0)</f>
        <v>226.23349526963986</v>
      </c>
    </row>
    <row r="93" spans="1:33">
      <c r="A93" s="109" t="s">
        <v>0</v>
      </c>
      <c r="B93" s="109" t="s">
        <v>1</v>
      </c>
      <c r="C93" s="109" t="s">
        <v>2</v>
      </c>
      <c r="D93" s="110" t="s">
        <v>3</v>
      </c>
      <c r="E93" s="111" t="s">
        <v>4</v>
      </c>
      <c r="F93" s="112" t="s">
        <v>5</v>
      </c>
      <c r="G93" s="113" t="s">
        <v>174</v>
      </c>
      <c r="H93" s="113" t="s">
        <v>51</v>
      </c>
      <c r="I93" s="113" t="s">
        <v>130</v>
      </c>
      <c r="J93" s="113"/>
      <c r="K93" s="113"/>
      <c r="L93" s="114"/>
      <c r="M93" s="21">
        <f>F92/30*7+G92/30*7</f>
        <v>21.126931970305463</v>
      </c>
      <c r="N93" s="21">
        <f>G92/30*15+I92/30*5</f>
        <v>17.654017654017654</v>
      </c>
      <c r="O93" s="21">
        <f>F92/30*5+H92/10/5</f>
        <v>10.240160642570281</v>
      </c>
      <c r="P93" s="21">
        <f>F92/30*75+G92/30*60+H92/30*45+I92/10/60</f>
        <v>226.23349526963986</v>
      </c>
      <c r="R93" s="241" t="str">
        <f>A92</f>
        <v>خورشت قیمه</v>
      </c>
      <c r="S93" s="238" t="s">
        <v>1</v>
      </c>
      <c r="T93" s="237">
        <f>B92</f>
        <v>100</v>
      </c>
      <c r="U93" s="238" t="s">
        <v>23</v>
      </c>
      <c r="V93" s="237">
        <f t="shared" ref="V93" si="182">M93</f>
        <v>21.126931970305463</v>
      </c>
      <c r="W93" s="238" t="s">
        <v>24</v>
      </c>
      <c r="X93" s="237">
        <f t="shared" ref="X93" si="183">N93</f>
        <v>17.654017654017654</v>
      </c>
      <c r="Y93" s="238" t="s">
        <v>13</v>
      </c>
      <c r="Z93" s="237">
        <f t="shared" ref="Z93:Z153" si="184">O93</f>
        <v>10.240160642570281</v>
      </c>
      <c r="AA93" s="238" t="s">
        <v>4</v>
      </c>
      <c r="AB93" s="238">
        <f t="shared" ref="AB93" si="185">P93</f>
        <v>226.23349526963986</v>
      </c>
      <c r="AC93" s="239" t="str">
        <f>R93</f>
        <v>خورشت قیمه</v>
      </c>
      <c r="AD93" s="26" t="s">
        <v>11</v>
      </c>
      <c r="AE93" s="27" t="s">
        <v>12</v>
      </c>
      <c r="AF93" s="28" t="s">
        <v>13</v>
      </c>
      <c r="AG93" s="29" t="s">
        <v>4</v>
      </c>
    </row>
    <row r="94" spans="1:33">
      <c r="A94" s="109" t="s">
        <v>175</v>
      </c>
      <c r="B94" s="109">
        <v>100</v>
      </c>
      <c r="C94" s="109" t="s">
        <v>86</v>
      </c>
      <c r="D94" s="110">
        <f t="shared" ref="D94" si="186">B94/20</f>
        <v>5</v>
      </c>
      <c r="E94" s="111">
        <f>B94/0.44052</f>
        <v>227.00444928720603</v>
      </c>
      <c r="F94" s="112">
        <f>B94/1.66</f>
        <v>60.24096385542169</v>
      </c>
      <c r="G94" s="113">
        <f>B94/1.666</f>
        <v>60.024009603841542</v>
      </c>
      <c r="H94" s="113">
        <f>B94/10</f>
        <v>10</v>
      </c>
      <c r="I94" s="113">
        <f>B94/6.666</f>
        <v>15.001500150015001</v>
      </c>
      <c r="J94" s="113"/>
      <c r="K94" s="113"/>
      <c r="L94" s="114"/>
      <c r="M94" s="9" t="s">
        <v>11</v>
      </c>
      <c r="N94" s="9" t="s">
        <v>12</v>
      </c>
      <c r="O94" s="9" t="s">
        <v>13</v>
      </c>
      <c r="P94" s="9" t="s">
        <v>4</v>
      </c>
      <c r="R94" s="236"/>
      <c r="S94" s="232"/>
      <c r="T94" s="230"/>
      <c r="U94" s="232"/>
      <c r="V94" s="230"/>
      <c r="W94" s="232"/>
      <c r="X94" s="230"/>
      <c r="Y94" s="232"/>
      <c r="Z94" s="230"/>
      <c r="AA94" s="232"/>
      <c r="AB94" s="232"/>
      <c r="AC94" s="234"/>
      <c r="AD94" s="26">
        <f>VLOOKUP(AC95,R95:AB96,5,0)</f>
        <v>16.057025219726444</v>
      </c>
      <c r="AE94" s="27">
        <f>VLOOKUP(AC95,R95:AB96,7,0)</f>
        <v>12.504251625642759</v>
      </c>
      <c r="AF94" s="28">
        <f>VLOOKUP(AC95,R95:AB96,9,0)</f>
        <v>11.706827309236948</v>
      </c>
      <c r="AG94" s="29">
        <f>VLOOKUP(AC95,R95:AB96,11,0)</f>
        <v>226.87354275426679</v>
      </c>
    </row>
    <row r="95" spans="1:33">
      <c r="A95" s="109" t="s">
        <v>0</v>
      </c>
      <c r="B95" s="109" t="s">
        <v>1</v>
      </c>
      <c r="C95" s="109" t="s">
        <v>2</v>
      </c>
      <c r="D95" s="110" t="s">
        <v>3</v>
      </c>
      <c r="E95" s="111" t="s">
        <v>4</v>
      </c>
      <c r="F95" s="112" t="s">
        <v>5</v>
      </c>
      <c r="G95" s="113" t="s">
        <v>50</v>
      </c>
      <c r="H95" s="113" t="s">
        <v>176</v>
      </c>
      <c r="I95" s="113" t="s">
        <v>51</v>
      </c>
      <c r="J95" s="113"/>
      <c r="K95" s="113"/>
      <c r="L95" s="114"/>
      <c r="M95" s="21">
        <f>F94/30*7+G94/30*1</f>
        <v>16.057025219726444</v>
      </c>
      <c r="N95" s="21">
        <f>G94/30*5+I94/30*5</f>
        <v>12.504251625642759</v>
      </c>
      <c r="O95" s="21">
        <f>F94/30*5+H94/30*5</f>
        <v>11.706827309236948</v>
      </c>
      <c r="P95" s="21">
        <f>I94/100*75+H94/30*45+G94/30*25+F94/30*75</f>
        <v>226.87354275426679</v>
      </c>
      <c r="R95" s="241" t="str">
        <f>A94</f>
        <v>خورشت کرفس</v>
      </c>
      <c r="S95" s="238" t="s">
        <v>1</v>
      </c>
      <c r="T95" s="237">
        <f>B94</f>
        <v>100</v>
      </c>
      <c r="U95" s="238" t="s">
        <v>23</v>
      </c>
      <c r="V95" s="237">
        <f t="shared" ref="V95:V149" si="187">M95</f>
        <v>16.057025219726444</v>
      </c>
      <c r="W95" s="238" t="s">
        <v>24</v>
      </c>
      <c r="X95" s="237">
        <f t="shared" ref="X95" si="188">N95</f>
        <v>12.504251625642759</v>
      </c>
      <c r="Y95" s="238" t="s">
        <v>13</v>
      </c>
      <c r="Z95" s="237">
        <f t="shared" ref="Z95:Z155" si="189">O95</f>
        <v>11.706827309236948</v>
      </c>
      <c r="AA95" s="238" t="s">
        <v>4</v>
      </c>
      <c r="AB95" s="238">
        <f t="shared" ref="AB95" si="190">P95</f>
        <v>226.87354275426679</v>
      </c>
      <c r="AC95" s="239" t="str">
        <f>R95</f>
        <v>خورشت کرفس</v>
      </c>
      <c r="AD95" s="26" t="s">
        <v>11</v>
      </c>
      <c r="AE95" s="27" t="s">
        <v>12</v>
      </c>
      <c r="AF95" s="28" t="s">
        <v>13</v>
      </c>
      <c r="AG95" s="29" t="s">
        <v>4</v>
      </c>
    </row>
    <row r="96" spans="1:33">
      <c r="A96" s="109" t="s">
        <v>177</v>
      </c>
      <c r="B96" s="109">
        <v>100</v>
      </c>
      <c r="C96" s="109" t="s">
        <v>86</v>
      </c>
      <c r="D96" s="110">
        <f t="shared" ref="D96" si="191">B96/20</f>
        <v>5</v>
      </c>
      <c r="E96" s="111">
        <f>B96/0.4484</f>
        <v>223.01516503122212</v>
      </c>
      <c r="F96" s="112">
        <f>B96/1.66</f>
        <v>60.24096385542169</v>
      </c>
      <c r="G96" s="113">
        <f>B96/1.66</f>
        <v>60.24096385542169</v>
      </c>
      <c r="H96" s="113">
        <v>10</v>
      </c>
      <c r="I96" s="113">
        <v>10</v>
      </c>
      <c r="J96" s="113"/>
      <c r="K96" s="113"/>
      <c r="L96" s="114"/>
      <c r="M96" s="9" t="s">
        <v>11</v>
      </c>
      <c r="N96" s="9" t="s">
        <v>12</v>
      </c>
      <c r="O96" s="9" t="s">
        <v>13</v>
      </c>
      <c r="P96" s="9" t="s">
        <v>4</v>
      </c>
      <c r="R96" s="236"/>
      <c r="S96" s="232"/>
      <c r="T96" s="230"/>
      <c r="U96" s="232"/>
      <c r="V96" s="230"/>
      <c r="W96" s="232"/>
      <c r="X96" s="230"/>
      <c r="Y96" s="232"/>
      <c r="Z96" s="230"/>
      <c r="AA96" s="232"/>
      <c r="AB96" s="232"/>
      <c r="AC96" s="234"/>
      <c r="AD96" s="26">
        <f>VLOOKUP(AC97,R97:AB98,5,0)</f>
        <v>16.064257028112451</v>
      </c>
      <c r="AE96" s="27">
        <f>VLOOKUP(AC97,R97:AB98,7,0)</f>
        <v>11.706827309236948</v>
      </c>
      <c r="AF96" s="28">
        <f>VLOOKUP(AC97,R97:AB98,9,0)</f>
        <v>11.706827309236948</v>
      </c>
      <c r="AG96" s="29">
        <f>VLOOKUP(AC97,R97:AB98,11,0)</f>
        <v>223.30321285140565</v>
      </c>
    </row>
    <row r="97" spans="1:33">
      <c r="A97" s="109" t="s">
        <v>0</v>
      </c>
      <c r="B97" s="109" t="s">
        <v>1</v>
      </c>
      <c r="C97" s="109" t="s">
        <v>2</v>
      </c>
      <c r="D97" s="110" t="s">
        <v>3</v>
      </c>
      <c r="E97" s="111" t="s">
        <v>4</v>
      </c>
      <c r="F97" s="112" t="s">
        <v>5</v>
      </c>
      <c r="G97" s="113" t="s">
        <v>117</v>
      </c>
      <c r="H97" s="113" t="s">
        <v>130</v>
      </c>
      <c r="I97" s="113" t="s">
        <v>48</v>
      </c>
      <c r="J97" s="113"/>
      <c r="K97" s="113"/>
      <c r="L97" s="114"/>
      <c r="M97" s="21">
        <f>F96/30*7+G96/30*1</f>
        <v>16.064257028112451</v>
      </c>
      <c r="N97" s="21">
        <f>G96/30*5+H96/30*5</f>
        <v>11.706827309236948</v>
      </c>
      <c r="O97" s="21">
        <f>F96/30*5+I96/30*5</f>
        <v>11.706827309236948</v>
      </c>
      <c r="P97" s="21">
        <f>I96/30*45+H96/100*75+G96/30*25+F96/30*75</f>
        <v>223.30321285140565</v>
      </c>
      <c r="R97" s="241" t="str">
        <f>A96</f>
        <v>خورشت لوبیا سبز</v>
      </c>
      <c r="S97" s="238" t="s">
        <v>1</v>
      </c>
      <c r="T97" s="237">
        <f>B96</f>
        <v>100</v>
      </c>
      <c r="U97" s="238" t="s">
        <v>23</v>
      </c>
      <c r="V97" s="237">
        <f t="shared" ref="V97:V151" si="192">M97</f>
        <v>16.064257028112451</v>
      </c>
      <c r="W97" s="238" t="s">
        <v>24</v>
      </c>
      <c r="X97" s="237">
        <f t="shared" ref="X97" si="193">N97</f>
        <v>11.706827309236948</v>
      </c>
      <c r="Y97" s="238" t="s">
        <v>13</v>
      </c>
      <c r="Z97" s="237">
        <f t="shared" si="159"/>
        <v>11.706827309236948</v>
      </c>
      <c r="AA97" s="238" t="s">
        <v>4</v>
      </c>
      <c r="AB97" s="238">
        <f t="shared" ref="AB97" si="194">P97</f>
        <v>223.30321285140565</v>
      </c>
      <c r="AC97" s="239" t="str">
        <f>R97</f>
        <v>خورشت لوبیا سبز</v>
      </c>
      <c r="AD97" s="26" t="s">
        <v>11</v>
      </c>
      <c r="AE97" s="27" t="s">
        <v>12</v>
      </c>
      <c r="AF97" s="28" t="s">
        <v>13</v>
      </c>
      <c r="AG97" s="29" t="s">
        <v>4</v>
      </c>
    </row>
    <row r="98" spans="1:33">
      <c r="A98" s="109" t="s">
        <v>178</v>
      </c>
      <c r="B98" s="109">
        <v>100</v>
      </c>
      <c r="C98" s="109" t="s">
        <v>86</v>
      </c>
      <c r="D98" s="110">
        <f t="shared" ref="D98" si="195">B98/20</f>
        <v>5</v>
      </c>
      <c r="E98" s="111">
        <f>B98/0.44642</f>
        <v>224.00430088257696</v>
      </c>
      <c r="F98" s="112">
        <f>B98/1.66</f>
        <v>60.24096385542169</v>
      </c>
      <c r="G98" s="113">
        <f>B98/1.428</f>
        <v>70.0280112044818</v>
      </c>
      <c r="H98" s="113">
        <v>10</v>
      </c>
      <c r="I98" s="113">
        <v>10</v>
      </c>
      <c r="J98" s="113"/>
      <c r="K98" s="113"/>
      <c r="L98" s="114"/>
      <c r="M98" s="9" t="s">
        <v>11</v>
      </c>
      <c r="N98" s="9" t="s">
        <v>12</v>
      </c>
      <c r="O98" s="9" t="s">
        <v>13</v>
      </c>
      <c r="P98" s="9" t="s">
        <v>4</v>
      </c>
      <c r="R98" s="236"/>
      <c r="S98" s="232"/>
      <c r="T98" s="230"/>
      <c r="U98" s="232"/>
      <c r="V98" s="230"/>
      <c r="W98" s="232"/>
      <c r="X98" s="230"/>
      <c r="Y98" s="232"/>
      <c r="Z98" s="230"/>
      <c r="AA98" s="232"/>
      <c r="AB98" s="232"/>
      <c r="AC98" s="234"/>
      <c r="AD98" s="26">
        <f>VLOOKUP(AC99,R99:AB100,5,0)</f>
        <v>16.390491939747786</v>
      </c>
      <c r="AE98" s="27">
        <f>VLOOKUP(AC99,R99:AB100,7,0)</f>
        <v>13.338001867413633</v>
      </c>
      <c r="AF98" s="28">
        <f>VLOOKUP(AC99,R99:AB100,9,0)</f>
        <v>11.706827309236948</v>
      </c>
      <c r="AG98" s="29">
        <f>VLOOKUP(AC99,R99:AB100,11,0)</f>
        <v>223.96041897562242</v>
      </c>
    </row>
    <row r="99" spans="1:33">
      <c r="A99" s="109" t="s">
        <v>0</v>
      </c>
      <c r="B99" s="109" t="s">
        <v>1</v>
      </c>
      <c r="C99" s="109" t="s">
        <v>2</v>
      </c>
      <c r="D99" s="110" t="s">
        <v>3</v>
      </c>
      <c r="E99" s="111" t="s">
        <v>4</v>
      </c>
      <c r="F99" s="112" t="s">
        <v>179</v>
      </c>
      <c r="G99" s="113" t="s">
        <v>148</v>
      </c>
      <c r="H99" s="113" t="s">
        <v>180</v>
      </c>
      <c r="I99" s="113" t="s">
        <v>51</v>
      </c>
      <c r="J99" s="113"/>
      <c r="K99" s="113"/>
      <c r="L99" s="114"/>
      <c r="M99" s="21">
        <f>F98/30*7+G98/30*1</f>
        <v>16.390491939747786</v>
      </c>
      <c r="N99" s="21">
        <f>G98/30*5+H98/30*5</f>
        <v>13.338001867413633</v>
      </c>
      <c r="O99" s="21">
        <f>I98/30*5+F98/30*5</f>
        <v>11.706827309236948</v>
      </c>
      <c r="P99" s="21">
        <f>I98/30*45+H98/100/75+G98/30*25+F98/30*75</f>
        <v>223.96041897562242</v>
      </c>
      <c r="R99" s="241" t="str">
        <f>A98</f>
        <v>خورشت گل کلم</v>
      </c>
      <c r="S99" s="238" t="s">
        <v>1</v>
      </c>
      <c r="T99" s="237">
        <f>B98</f>
        <v>100</v>
      </c>
      <c r="U99" s="238" t="s">
        <v>23</v>
      </c>
      <c r="V99" s="237">
        <f t="shared" ref="V99:V153" si="196">M99</f>
        <v>16.390491939747786</v>
      </c>
      <c r="W99" s="238" t="s">
        <v>24</v>
      </c>
      <c r="X99" s="237">
        <f t="shared" ref="X99" si="197">N99</f>
        <v>13.338001867413633</v>
      </c>
      <c r="Y99" s="238" t="s">
        <v>13</v>
      </c>
      <c r="Z99" s="237">
        <f t="shared" si="163"/>
        <v>11.706827309236948</v>
      </c>
      <c r="AA99" s="238" t="s">
        <v>4</v>
      </c>
      <c r="AB99" s="238">
        <f t="shared" ref="AB99" si="198">P99</f>
        <v>223.96041897562242</v>
      </c>
      <c r="AC99" s="239" t="str">
        <f>R99</f>
        <v>خورشت گل کلم</v>
      </c>
      <c r="AD99" s="26" t="s">
        <v>11</v>
      </c>
      <c r="AE99" s="27" t="s">
        <v>12</v>
      </c>
      <c r="AF99" s="28" t="s">
        <v>13</v>
      </c>
      <c r="AG99" s="29" t="s">
        <v>4</v>
      </c>
    </row>
    <row r="100" spans="1:33">
      <c r="A100" s="109" t="s">
        <v>181</v>
      </c>
      <c r="B100" s="109">
        <v>100</v>
      </c>
      <c r="C100" s="109" t="s">
        <v>86</v>
      </c>
      <c r="D100" s="110">
        <f t="shared" ref="D100" si="199">B100/20</f>
        <v>5</v>
      </c>
      <c r="E100" s="111">
        <f>B100/0.4237</f>
        <v>236.0160490913382</v>
      </c>
      <c r="F100" s="112">
        <f>B100/1.25</f>
        <v>80</v>
      </c>
      <c r="G100" s="113">
        <f>B100/1.66</f>
        <v>60.24096385542169</v>
      </c>
      <c r="H100" s="113">
        <f>B100/10</f>
        <v>10</v>
      </c>
      <c r="I100" s="113">
        <v>10</v>
      </c>
      <c r="J100" s="113"/>
      <c r="K100" s="113"/>
      <c r="L100" s="114"/>
      <c r="M100" s="9" t="s">
        <v>11</v>
      </c>
      <c r="N100" s="9" t="s">
        <v>12</v>
      </c>
      <c r="O100" s="9" t="s">
        <v>13</v>
      </c>
      <c r="P100" s="9" t="s">
        <v>4</v>
      </c>
      <c r="R100" s="236"/>
      <c r="S100" s="232"/>
      <c r="T100" s="230"/>
      <c r="U100" s="232"/>
      <c r="V100" s="230"/>
      <c r="W100" s="232"/>
      <c r="X100" s="230"/>
      <c r="Y100" s="232"/>
      <c r="Z100" s="230"/>
      <c r="AA100" s="232"/>
      <c r="AB100" s="232"/>
      <c r="AC100" s="234"/>
      <c r="AD100" s="26">
        <f>VLOOKUP(AC101,R101:AB102,5,0)</f>
        <v>19.608032128514058</v>
      </c>
      <c r="AE100" s="27">
        <f>VLOOKUP(AC101,R101:AB102,7,0)</f>
        <v>10.040160642570282</v>
      </c>
      <c r="AF100" s="28">
        <f>VLOOKUP(AC101,R101:AB102,9,0)</f>
        <v>14.999999999999998</v>
      </c>
      <c r="AG100" s="29">
        <f>VLOOKUP(AC101,R101:AB102,11,0)</f>
        <v>235.86746987951807</v>
      </c>
    </row>
    <row r="101" spans="1:33">
      <c r="A101" s="115" t="s">
        <v>0</v>
      </c>
      <c r="B101" s="115" t="s">
        <v>1</v>
      </c>
      <c r="C101" s="115" t="s">
        <v>2</v>
      </c>
      <c r="D101" s="116" t="s">
        <v>3</v>
      </c>
      <c r="E101" s="117" t="s">
        <v>4</v>
      </c>
      <c r="F101" s="118" t="s">
        <v>182</v>
      </c>
      <c r="G101" s="119"/>
      <c r="H101" s="119"/>
      <c r="I101" s="119"/>
      <c r="J101" s="119"/>
      <c r="K101" s="119"/>
      <c r="L101" s="120"/>
      <c r="M101" s="21">
        <f>F100/100*22+G100/30*1</f>
        <v>19.608032128514058</v>
      </c>
      <c r="N101" s="21">
        <f>G100/30*5</f>
        <v>10.040160642570282</v>
      </c>
      <c r="O101" s="21">
        <f>I100/30*5+F100/30*5</f>
        <v>14.999999999999998</v>
      </c>
      <c r="P101" s="21">
        <f>I100/30*45+H100/100*240+G100/30*25+F100/30*55</f>
        <v>235.86746987951807</v>
      </c>
      <c r="R101" s="241" t="str">
        <f>A100</f>
        <v>خورشت قلیه ماهی</v>
      </c>
      <c r="S101" s="238" t="s">
        <v>1</v>
      </c>
      <c r="T101" s="237">
        <f>B100</f>
        <v>100</v>
      </c>
      <c r="U101" s="238" t="s">
        <v>23</v>
      </c>
      <c r="V101" s="237">
        <f t="shared" ref="V101:V155" si="200">M101</f>
        <v>19.608032128514058</v>
      </c>
      <c r="W101" s="238" t="s">
        <v>24</v>
      </c>
      <c r="X101" s="237">
        <f t="shared" ref="X101" si="201">N101</f>
        <v>10.040160642570282</v>
      </c>
      <c r="Y101" s="238" t="s">
        <v>13</v>
      </c>
      <c r="Z101" s="237">
        <f t="shared" si="167"/>
        <v>14.999999999999998</v>
      </c>
      <c r="AA101" s="238" t="s">
        <v>4</v>
      </c>
      <c r="AB101" s="238">
        <f t="shared" ref="AB101" si="202">P101</f>
        <v>235.86746987951807</v>
      </c>
      <c r="AC101" s="239" t="str">
        <f>R101</f>
        <v>خورشت قلیه ماهی</v>
      </c>
      <c r="AD101" s="26" t="s">
        <v>11</v>
      </c>
      <c r="AE101" s="27" t="s">
        <v>12</v>
      </c>
      <c r="AF101" s="28" t="s">
        <v>13</v>
      </c>
      <c r="AG101" s="29" t="s">
        <v>4</v>
      </c>
    </row>
    <row r="102" spans="1:33">
      <c r="A102" s="115" t="s">
        <v>183</v>
      </c>
      <c r="B102" s="115">
        <v>100</v>
      </c>
      <c r="C102" s="115" t="s">
        <v>89</v>
      </c>
      <c r="D102" s="116">
        <f>B102</f>
        <v>100</v>
      </c>
      <c r="E102" s="117">
        <f>B102/0.5263</f>
        <v>190.00570017100515</v>
      </c>
      <c r="F102" s="118">
        <f>B102/1</f>
        <v>100</v>
      </c>
      <c r="G102" s="119"/>
      <c r="H102" s="119"/>
      <c r="I102" s="119"/>
      <c r="J102" s="119"/>
      <c r="K102" s="119"/>
      <c r="L102" s="120"/>
      <c r="M102" s="9" t="s">
        <v>11</v>
      </c>
      <c r="N102" s="9" t="s">
        <v>12</v>
      </c>
      <c r="O102" s="9" t="s">
        <v>13</v>
      </c>
      <c r="P102" s="9" t="s">
        <v>4</v>
      </c>
      <c r="R102" s="236"/>
      <c r="S102" s="232"/>
      <c r="T102" s="230"/>
      <c r="U102" s="232"/>
      <c r="V102" s="230"/>
      <c r="W102" s="232"/>
      <c r="X102" s="230"/>
      <c r="Y102" s="232"/>
      <c r="Z102" s="230"/>
      <c r="AA102" s="232"/>
      <c r="AB102" s="232"/>
      <c r="AC102" s="234"/>
      <c r="AD102" s="26">
        <f>VLOOKUP(AC103,R103:AB104,5,0)</f>
        <v>16.666666666666668</v>
      </c>
      <c r="AE102" s="27">
        <f>VLOOKUP(AC103,R103:AB104,7,0)</f>
        <v>0</v>
      </c>
      <c r="AF102" s="28">
        <f>VLOOKUP(AC103,R103:AB104,9,0)</f>
        <v>16.666666666666668</v>
      </c>
      <c r="AG102" s="29">
        <f>VLOOKUP(AC103,R103:AB104,11,0)</f>
        <v>190</v>
      </c>
    </row>
    <row r="103" spans="1:33" ht="12.75" customHeight="1">
      <c r="A103" s="115" t="s">
        <v>0</v>
      </c>
      <c r="B103" s="115" t="s">
        <v>1</v>
      </c>
      <c r="C103" s="115" t="s">
        <v>2</v>
      </c>
      <c r="D103" s="116" t="s">
        <v>3</v>
      </c>
      <c r="E103" s="117" t="s">
        <v>4</v>
      </c>
      <c r="F103" s="118" t="s">
        <v>184</v>
      </c>
      <c r="G103" s="119"/>
      <c r="H103" s="119"/>
      <c r="I103" s="119"/>
      <c r="J103" s="119"/>
      <c r="K103" s="119"/>
      <c r="L103" s="120"/>
      <c r="M103" s="21">
        <f>F102/30*5</f>
        <v>16.666666666666668</v>
      </c>
      <c r="N103" s="21">
        <v>0</v>
      </c>
      <c r="O103" s="21">
        <f>F102/30*5</f>
        <v>16.666666666666668</v>
      </c>
      <c r="P103" s="21">
        <f>F102/30*57</f>
        <v>190</v>
      </c>
      <c r="R103" s="241" t="str">
        <f>A102</f>
        <v>ران مرغ آب پز</v>
      </c>
      <c r="S103" s="238" t="s">
        <v>1</v>
      </c>
      <c r="T103" s="237">
        <f>B102</f>
        <v>100</v>
      </c>
      <c r="U103" s="238" t="s">
        <v>23</v>
      </c>
      <c r="V103" s="237">
        <f t="shared" ref="V103:V157" si="203">M103</f>
        <v>16.666666666666668</v>
      </c>
      <c r="W103" s="238" t="s">
        <v>24</v>
      </c>
      <c r="X103" s="237">
        <f t="shared" ref="X103" si="204">N103</f>
        <v>0</v>
      </c>
      <c r="Y103" s="238" t="s">
        <v>13</v>
      </c>
      <c r="Z103" s="237">
        <f t="shared" si="171"/>
        <v>16.666666666666668</v>
      </c>
      <c r="AA103" s="238" t="s">
        <v>4</v>
      </c>
      <c r="AB103" s="238">
        <f t="shared" ref="AB103" si="205">P103</f>
        <v>190</v>
      </c>
      <c r="AC103" s="239" t="str">
        <f>R103</f>
        <v>ران مرغ آب پز</v>
      </c>
      <c r="AD103" s="26" t="s">
        <v>11</v>
      </c>
      <c r="AE103" s="27" t="s">
        <v>12</v>
      </c>
      <c r="AF103" s="28" t="s">
        <v>13</v>
      </c>
      <c r="AG103" s="29" t="s">
        <v>4</v>
      </c>
    </row>
    <row r="104" spans="1:33" ht="12.75" customHeight="1">
      <c r="A104" s="115" t="s">
        <v>185</v>
      </c>
      <c r="B104" s="115">
        <v>100</v>
      </c>
      <c r="C104" s="115" t="s">
        <v>89</v>
      </c>
      <c r="D104" s="116">
        <f t="shared" ref="D104" si="206">B104/250</f>
        <v>0.4</v>
      </c>
      <c r="E104" s="117">
        <f>B104/0.5988</f>
        <v>167.000668002672</v>
      </c>
      <c r="F104" s="118">
        <f>B104/1</f>
        <v>100</v>
      </c>
      <c r="G104" s="119"/>
      <c r="H104" s="119"/>
      <c r="I104" s="119"/>
      <c r="J104" s="119"/>
      <c r="K104" s="119"/>
      <c r="L104" s="120"/>
      <c r="M104" s="9" t="s">
        <v>11</v>
      </c>
      <c r="N104" s="9" t="s">
        <v>12</v>
      </c>
      <c r="O104" s="9" t="s">
        <v>13</v>
      </c>
      <c r="P104" s="9" t="s">
        <v>4</v>
      </c>
      <c r="R104" s="236"/>
      <c r="S104" s="232"/>
      <c r="T104" s="230"/>
      <c r="U104" s="232"/>
      <c r="V104" s="230"/>
      <c r="W104" s="232"/>
      <c r="X104" s="230"/>
      <c r="Y104" s="232"/>
      <c r="Z104" s="230"/>
      <c r="AA104" s="232"/>
      <c r="AB104" s="232"/>
      <c r="AC104" s="234"/>
      <c r="AD104" s="26">
        <f>VLOOKUP(AC105,R105:AB106,5,0)</f>
        <v>26.666666666666668</v>
      </c>
      <c r="AE104" s="27">
        <f>VLOOKUP(AC105,R105:AB106,7,0)</f>
        <v>0</v>
      </c>
      <c r="AF104" s="28">
        <f>VLOOKUP(AC105,R105:AB106,9,0)</f>
        <v>10</v>
      </c>
      <c r="AG104" s="29">
        <f>VLOOKUP(AC105,R105:AB106,11,0)</f>
        <v>166.66666666666669</v>
      </c>
    </row>
    <row r="105" spans="1:33" ht="12.75" customHeight="1">
      <c r="A105" s="115" t="s">
        <v>0</v>
      </c>
      <c r="B105" s="115" t="s">
        <v>1</v>
      </c>
      <c r="C105" s="115" t="s">
        <v>2</v>
      </c>
      <c r="D105" s="116" t="s">
        <v>3</v>
      </c>
      <c r="E105" s="117" t="s">
        <v>4</v>
      </c>
      <c r="F105" s="118" t="s">
        <v>162</v>
      </c>
      <c r="G105" s="119" t="s">
        <v>37</v>
      </c>
      <c r="H105" s="119" t="s">
        <v>186</v>
      </c>
      <c r="I105" s="119"/>
      <c r="J105" s="119"/>
      <c r="K105" s="119"/>
      <c r="L105" s="120"/>
      <c r="M105" s="21">
        <f>F104/30*8</f>
        <v>26.666666666666668</v>
      </c>
      <c r="N105" s="21">
        <v>0</v>
      </c>
      <c r="O105" s="21">
        <f>F104/30*3</f>
        <v>10</v>
      </c>
      <c r="P105" s="21">
        <f>F104/30*50</f>
        <v>166.66666666666669</v>
      </c>
      <c r="R105" s="241" t="str">
        <f>A104</f>
        <v>سینه مرغ پخته</v>
      </c>
      <c r="S105" s="238" t="s">
        <v>1</v>
      </c>
      <c r="T105" s="237">
        <f>B104</f>
        <v>100</v>
      </c>
      <c r="U105" s="238" t="s">
        <v>23</v>
      </c>
      <c r="V105" s="237">
        <f t="shared" ref="V105:V159" si="207">M105</f>
        <v>26.666666666666668</v>
      </c>
      <c r="W105" s="238" t="s">
        <v>24</v>
      </c>
      <c r="X105" s="237">
        <f t="shared" ref="X105" si="208">N105</f>
        <v>0</v>
      </c>
      <c r="Y105" s="238" t="s">
        <v>13</v>
      </c>
      <c r="Z105" s="237">
        <f t="shared" si="175"/>
        <v>10</v>
      </c>
      <c r="AA105" s="238" t="s">
        <v>4</v>
      </c>
      <c r="AB105" s="238">
        <f t="shared" ref="AB105" si="209">P105</f>
        <v>166.66666666666669</v>
      </c>
      <c r="AC105" s="239" t="str">
        <f>R105</f>
        <v>سینه مرغ پخته</v>
      </c>
      <c r="AD105" s="26" t="s">
        <v>11</v>
      </c>
      <c r="AE105" s="27" t="s">
        <v>12</v>
      </c>
      <c r="AF105" s="28" t="s">
        <v>13</v>
      </c>
      <c r="AG105" s="29" t="s">
        <v>4</v>
      </c>
    </row>
    <row r="106" spans="1:33" ht="12.75" customHeight="1">
      <c r="A106" s="115" t="s">
        <v>187</v>
      </c>
      <c r="B106" s="115">
        <v>100</v>
      </c>
      <c r="C106" s="115" t="s">
        <v>89</v>
      </c>
      <c r="D106" s="116">
        <f t="shared" ref="D106" si="210">B106/250</f>
        <v>0.4</v>
      </c>
      <c r="E106" s="117">
        <f>P107</f>
        <v>175.64257028112451</v>
      </c>
      <c r="F106" s="118">
        <f>B106/1.66</f>
        <v>60.24096385542169</v>
      </c>
      <c r="G106" s="119">
        <f>B106/1.66</f>
        <v>60.24096385542169</v>
      </c>
      <c r="H106" s="119">
        <f>B106/10</f>
        <v>10</v>
      </c>
      <c r="I106" s="119"/>
      <c r="J106" s="119"/>
      <c r="K106" s="119"/>
      <c r="L106" s="120"/>
      <c r="M106" s="9" t="s">
        <v>11</v>
      </c>
      <c r="N106" s="9" t="s">
        <v>12</v>
      </c>
      <c r="O106" s="9" t="s">
        <v>13</v>
      </c>
      <c r="P106" s="9" t="s">
        <v>4</v>
      </c>
      <c r="R106" s="236"/>
      <c r="S106" s="232"/>
      <c r="T106" s="230"/>
      <c r="U106" s="232"/>
      <c r="V106" s="230"/>
      <c r="W106" s="232"/>
      <c r="X106" s="230"/>
      <c r="Y106" s="232"/>
      <c r="Z106" s="230"/>
      <c r="AA106" s="232"/>
      <c r="AB106" s="232"/>
      <c r="AC106" s="234"/>
      <c r="AD106" s="26">
        <f>VLOOKUP(AC107,R107:AB108,5,0)</f>
        <v>9.8393574297188771</v>
      </c>
      <c r="AE106" s="27">
        <f>VLOOKUP(AC107,R107:AB108,7,0)</f>
        <v>10.040160642570282</v>
      </c>
      <c r="AF106" s="28">
        <f>VLOOKUP(AC107,R107:AB108,9,0)</f>
        <v>11.706827309236948</v>
      </c>
      <c r="AG106" s="29">
        <f>VLOOKUP(AC107,R107:AB108,11,0)</f>
        <v>175.64257028112451</v>
      </c>
    </row>
    <row r="107" spans="1:33" ht="11.25" customHeight="1">
      <c r="A107" s="115" t="s">
        <v>0</v>
      </c>
      <c r="B107" s="115" t="s">
        <v>1</v>
      </c>
      <c r="C107" s="115" t="s">
        <v>2</v>
      </c>
      <c r="D107" s="116" t="s">
        <v>3</v>
      </c>
      <c r="E107" s="117" t="s">
        <v>4</v>
      </c>
      <c r="F107" s="118" t="s">
        <v>188</v>
      </c>
      <c r="G107" s="119" t="s">
        <v>37</v>
      </c>
      <c r="H107" s="119" t="s">
        <v>51</v>
      </c>
      <c r="I107" s="119"/>
      <c r="J107" s="119"/>
      <c r="K107" s="119"/>
      <c r="L107" s="120"/>
      <c r="M107" s="21">
        <f>F106/30*1+G106/100*13</f>
        <v>9.8393574297188771</v>
      </c>
      <c r="N107" s="21">
        <f>F106/30*5</f>
        <v>10.040160642570282</v>
      </c>
      <c r="O107" s="21">
        <f>H106/30*5+G106/30*5</f>
        <v>11.706827309236948</v>
      </c>
      <c r="P107" s="21">
        <f>F106/30*25+G106/30*55+H106/30*45</f>
        <v>175.64257028112451</v>
      </c>
      <c r="R107" s="241" t="str">
        <f>A106</f>
        <v>کوکو بادمجان</v>
      </c>
      <c r="S107" s="238" t="s">
        <v>1</v>
      </c>
      <c r="T107" s="237">
        <f>B106</f>
        <v>100</v>
      </c>
      <c r="U107" s="238" t="s">
        <v>23</v>
      </c>
      <c r="V107" s="237">
        <f t="shared" ref="V107:V161" si="211">M107</f>
        <v>9.8393574297188771</v>
      </c>
      <c r="W107" s="238" t="s">
        <v>24</v>
      </c>
      <c r="X107" s="237">
        <f t="shared" ref="X107" si="212">N107</f>
        <v>10.040160642570282</v>
      </c>
      <c r="Y107" s="238" t="s">
        <v>13</v>
      </c>
      <c r="Z107" s="237">
        <f t="shared" si="179"/>
        <v>11.706827309236948</v>
      </c>
      <c r="AA107" s="238" t="s">
        <v>4</v>
      </c>
      <c r="AB107" s="238">
        <f t="shared" ref="AB107" si="213">P107</f>
        <v>175.64257028112451</v>
      </c>
      <c r="AC107" s="239" t="str">
        <f>R107</f>
        <v>کوکو بادمجان</v>
      </c>
      <c r="AD107" s="26" t="s">
        <v>11</v>
      </c>
      <c r="AE107" s="27" t="s">
        <v>12</v>
      </c>
      <c r="AF107" s="28" t="s">
        <v>13</v>
      </c>
      <c r="AG107" s="29" t="s">
        <v>4</v>
      </c>
    </row>
    <row r="108" spans="1:33" ht="12.75" customHeight="1">
      <c r="A108" s="115" t="s">
        <v>189</v>
      </c>
      <c r="B108" s="115">
        <v>100</v>
      </c>
      <c r="C108" s="115" t="s">
        <v>89</v>
      </c>
      <c r="D108" s="116">
        <f t="shared" ref="D108" si="214">B108/250</f>
        <v>0.4</v>
      </c>
      <c r="E108" s="117">
        <f>P109</f>
        <v>250.44189206839809</v>
      </c>
      <c r="F108" s="118">
        <f>B108/0.666666</f>
        <v>150.00015000015</v>
      </c>
      <c r="G108" s="119">
        <f>B108/1.66</f>
        <v>60.24096385542169</v>
      </c>
      <c r="H108" s="119">
        <f>B106/10</f>
        <v>10</v>
      </c>
      <c r="I108" s="119"/>
      <c r="J108" s="119"/>
      <c r="K108" s="119"/>
      <c r="L108" s="120"/>
      <c r="M108" s="9" t="s">
        <v>11</v>
      </c>
      <c r="N108" s="9" t="s">
        <v>12</v>
      </c>
      <c r="O108" s="9" t="s">
        <v>13</v>
      </c>
      <c r="P108" s="9" t="s">
        <v>4</v>
      </c>
      <c r="R108" s="236"/>
      <c r="S108" s="232"/>
      <c r="T108" s="230"/>
      <c r="U108" s="232"/>
      <c r="V108" s="230"/>
      <c r="W108" s="232"/>
      <c r="X108" s="230"/>
      <c r="Y108" s="232"/>
      <c r="Z108" s="230"/>
      <c r="AA108" s="232"/>
      <c r="AB108" s="232"/>
      <c r="AC108" s="234"/>
      <c r="AD108" s="26">
        <f>VLOOKUP(AC109,R109:AB110,5,0)</f>
        <v>19.056229899603395</v>
      </c>
      <c r="AE108" s="27">
        <f>VLOOKUP(AC109,R109:AB110,7,0)</f>
        <v>25.000025000025001</v>
      </c>
      <c r="AF108" s="28">
        <f>VLOOKUP(AC109,R109:AB110,9,0)</f>
        <v>5.6827309236947787</v>
      </c>
      <c r="AG108" s="29">
        <f>VLOOKUP(AC109,R109:AB110,11,0)</f>
        <v>250.44189206839809</v>
      </c>
    </row>
    <row r="109" spans="1:33" ht="12.75" customHeight="1">
      <c r="A109" s="115" t="s">
        <v>0</v>
      </c>
      <c r="B109" s="115" t="s">
        <v>1</v>
      </c>
      <c r="C109" s="115" t="s">
        <v>2</v>
      </c>
      <c r="D109" s="116" t="s">
        <v>3</v>
      </c>
      <c r="E109" s="117" t="s">
        <v>4</v>
      </c>
      <c r="F109" s="118" t="s">
        <v>6</v>
      </c>
      <c r="G109" s="119" t="s">
        <v>37</v>
      </c>
      <c r="H109" s="119" t="s">
        <v>51</v>
      </c>
      <c r="I109" s="119"/>
      <c r="J109" s="119"/>
      <c r="K109" s="119"/>
      <c r="L109" s="120"/>
      <c r="M109" s="21">
        <f>F108/30*1+G108/30*7</f>
        <v>19.056229899603395</v>
      </c>
      <c r="N109" s="21">
        <f>F108/30*5</f>
        <v>25.000025000025001</v>
      </c>
      <c r="O109" s="21">
        <f>H108/30*5+G108/30*2</f>
        <v>5.6827309236947787</v>
      </c>
      <c r="P109" s="21">
        <f>F108/30*25+G108/30*55+H108/30*45</f>
        <v>250.44189206839809</v>
      </c>
      <c r="R109" s="241" t="str">
        <f>A108</f>
        <v>کوکو سبزی</v>
      </c>
      <c r="S109" s="238" t="s">
        <v>1</v>
      </c>
      <c r="T109" s="237">
        <f>B108</f>
        <v>100</v>
      </c>
      <c r="U109" s="238" t="s">
        <v>23</v>
      </c>
      <c r="V109" s="237">
        <f t="shared" ref="V109:V163" si="215">M109</f>
        <v>19.056229899603395</v>
      </c>
      <c r="W109" s="238" t="s">
        <v>24</v>
      </c>
      <c r="X109" s="237">
        <f t="shared" ref="X109" si="216">N109</f>
        <v>25.000025000025001</v>
      </c>
      <c r="Y109" s="238" t="s">
        <v>13</v>
      </c>
      <c r="Z109" s="237">
        <f t="shared" si="184"/>
        <v>5.6827309236947787</v>
      </c>
      <c r="AA109" s="238" t="s">
        <v>4</v>
      </c>
      <c r="AB109" s="238">
        <f t="shared" ref="AB109" si="217">P109</f>
        <v>250.44189206839809</v>
      </c>
      <c r="AC109" s="239" t="str">
        <f>R109</f>
        <v>کوکو سبزی</v>
      </c>
      <c r="AD109" s="26" t="s">
        <v>11</v>
      </c>
      <c r="AE109" s="27" t="s">
        <v>12</v>
      </c>
      <c r="AF109" s="28" t="s">
        <v>13</v>
      </c>
      <c r="AG109" s="29" t="s">
        <v>4</v>
      </c>
    </row>
    <row r="110" spans="1:33" ht="12.75" customHeight="1">
      <c r="A110" s="115" t="s">
        <v>190</v>
      </c>
      <c r="B110" s="115">
        <v>100</v>
      </c>
      <c r="C110" s="115" t="s">
        <v>89</v>
      </c>
      <c r="D110" s="116">
        <f t="shared" ref="D110" si="218">B110/250</f>
        <v>0.4</v>
      </c>
      <c r="E110" s="117">
        <f>P111</f>
        <v>245.92369477911649</v>
      </c>
      <c r="F110" s="118">
        <f>B110/1.66</f>
        <v>60.24096385542169</v>
      </c>
      <c r="G110" s="119">
        <f>B110/1.66</f>
        <v>60.24096385542169</v>
      </c>
      <c r="H110" s="119">
        <f>B110/10</f>
        <v>10</v>
      </c>
      <c r="I110" s="119"/>
      <c r="J110" s="119"/>
      <c r="K110" s="119"/>
      <c r="L110" s="120"/>
      <c r="M110" s="9" t="s">
        <v>11</v>
      </c>
      <c r="N110" s="9" t="s">
        <v>12</v>
      </c>
      <c r="O110" s="9" t="s">
        <v>13</v>
      </c>
      <c r="P110" s="9" t="s">
        <v>4</v>
      </c>
      <c r="R110" s="236"/>
      <c r="S110" s="232"/>
      <c r="T110" s="230"/>
      <c r="U110" s="232"/>
      <c r="V110" s="230"/>
      <c r="W110" s="232"/>
      <c r="X110" s="230"/>
      <c r="Y110" s="232"/>
      <c r="Z110" s="230"/>
      <c r="AA110" s="232"/>
      <c r="AB110" s="232"/>
      <c r="AC110" s="234"/>
      <c r="AD110" s="26">
        <f>VLOOKUP(AC111,R111:AB112,5,0)</f>
        <v>7.5301204819277112</v>
      </c>
      <c r="AE110" s="27">
        <f>VLOOKUP(AC111,R111:AB112,7,0)</f>
        <v>10.040160642570282</v>
      </c>
      <c r="AF110" s="28">
        <f>VLOOKUP(AC111,R111:AB112,9,0)</f>
        <v>11.706827309236948</v>
      </c>
      <c r="AG110" s="29">
        <f>VLOOKUP(AC111,R111:AB112,11,0)</f>
        <v>245.92369477911649</v>
      </c>
    </row>
    <row r="111" spans="1:33" ht="12.75" customHeight="1">
      <c r="A111" s="115" t="s">
        <v>0</v>
      </c>
      <c r="B111" s="115" t="s">
        <v>1</v>
      </c>
      <c r="C111" s="115" t="s">
        <v>2</v>
      </c>
      <c r="D111" s="116" t="s">
        <v>3</v>
      </c>
      <c r="E111" s="117" t="s">
        <v>4</v>
      </c>
      <c r="F111" s="118" t="s">
        <v>54</v>
      </c>
      <c r="G111" s="119" t="s">
        <v>37</v>
      </c>
      <c r="H111" s="119" t="s">
        <v>51</v>
      </c>
      <c r="I111" s="119"/>
      <c r="J111" s="119"/>
      <c r="K111" s="119"/>
      <c r="L111" s="120"/>
      <c r="M111" s="21">
        <f>F16440*1+G110/100*12.5</f>
        <v>7.5301204819277112</v>
      </c>
      <c r="N111" s="21">
        <f>F110/30*5</f>
        <v>10.040160642570282</v>
      </c>
      <c r="O111" s="21">
        <f>H110/30*5+G110/30*5</f>
        <v>11.706827309236948</v>
      </c>
      <c r="P111" s="21">
        <f>F110/30*60+G110/30*55+H110/30*45</f>
        <v>245.92369477911649</v>
      </c>
      <c r="R111" s="241" t="str">
        <f>A110</f>
        <v>کوکو سیب زمینی</v>
      </c>
      <c r="S111" s="238" t="s">
        <v>1</v>
      </c>
      <c r="T111" s="237">
        <f>B110</f>
        <v>100</v>
      </c>
      <c r="U111" s="238" t="s">
        <v>23</v>
      </c>
      <c r="V111" s="237">
        <f t="shared" ref="V111" si="219">M111</f>
        <v>7.5301204819277112</v>
      </c>
      <c r="W111" s="238" t="s">
        <v>24</v>
      </c>
      <c r="X111" s="237">
        <f t="shared" ref="X111" si="220">N111</f>
        <v>10.040160642570282</v>
      </c>
      <c r="Y111" s="238" t="s">
        <v>13</v>
      </c>
      <c r="Z111" s="237">
        <f t="shared" ref="Z111:Z171" si="221">O111</f>
        <v>11.706827309236948</v>
      </c>
      <c r="AA111" s="238" t="s">
        <v>4</v>
      </c>
      <c r="AB111" s="238">
        <f t="shared" ref="AB111" si="222">P111</f>
        <v>245.92369477911649</v>
      </c>
      <c r="AC111" s="239" t="str">
        <f>R111</f>
        <v>کوکو سیب زمینی</v>
      </c>
      <c r="AD111" s="26" t="s">
        <v>11</v>
      </c>
      <c r="AE111" s="27" t="s">
        <v>12</v>
      </c>
      <c r="AF111" s="28" t="s">
        <v>13</v>
      </c>
      <c r="AG111" s="29" t="s">
        <v>4</v>
      </c>
    </row>
    <row r="112" spans="1:33" ht="12.75" customHeight="1">
      <c r="A112" s="115" t="s">
        <v>191</v>
      </c>
      <c r="B112" s="115">
        <v>100</v>
      </c>
      <c r="C112" s="115" t="s">
        <v>89</v>
      </c>
      <c r="D112" s="116">
        <f t="shared" ref="D112" si="223">B112/250</f>
        <v>0.4</v>
      </c>
      <c r="E112" s="117">
        <f>P113</f>
        <v>250.04401760704283</v>
      </c>
      <c r="F112" s="118">
        <f>B112/2</f>
        <v>50</v>
      </c>
      <c r="G112" s="119">
        <f>B112/1.666</f>
        <v>60.024009603841542</v>
      </c>
      <c r="H112" s="119">
        <f>B112/10</f>
        <v>10</v>
      </c>
      <c r="I112" s="119"/>
      <c r="J112" s="119"/>
      <c r="K112" s="119"/>
      <c r="L112" s="120"/>
      <c r="M112" s="9" t="s">
        <v>11</v>
      </c>
      <c r="N112" s="9" t="s">
        <v>12</v>
      </c>
      <c r="O112" s="9" t="s">
        <v>13</v>
      </c>
      <c r="P112" s="9" t="s">
        <v>4</v>
      </c>
      <c r="R112" s="236"/>
      <c r="S112" s="232"/>
      <c r="T112" s="230"/>
      <c r="U112" s="232"/>
      <c r="V112" s="230"/>
      <c r="W112" s="232"/>
      <c r="X112" s="230"/>
      <c r="Y112" s="232"/>
      <c r="Z112" s="230"/>
      <c r="AA112" s="232"/>
      <c r="AB112" s="232"/>
      <c r="AC112" s="234"/>
      <c r="AD112" s="26">
        <f>VLOOKUP(AC113,R113:AB114,5,0)</f>
        <v>25.67226890756303</v>
      </c>
      <c r="AE112" s="27">
        <f>VLOOKUP(AC113,R113:AB114,7,0)</f>
        <v>0</v>
      </c>
      <c r="AF112" s="28">
        <f>VLOOKUP(AC113,R113:AB114,9,0)</f>
        <v>18.337334933973594</v>
      </c>
      <c r="AG112" s="29">
        <f>VLOOKUP(AC113,R113:AB114,11,0)</f>
        <v>250.04401760704283</v>
      </c>
    </row>
    <row r="113" spans="1:33" ht="12.75" customHeight="1">
      <c r="A113" s="115" t="s">
        <v>0</v>
      </c>
      <c r="B113" s="115" t="s">
        <v>1</v>
      </c>
      <c r="C113" s="115" t="s">
        <v>2</v>
      </c>
      <c r="D113" s="116" t="s">
        <v>3</v>
      </c>
      <c r="E113" s="117" t="s">
        <v>4</v>
      </c>
      <c r="F113" s="118" t="s">
        <v>192</v>
      </c>
      <c r="G113" s="119" t="s">
        <v>37</v>
      </c>
      <c r="H113" s="119" t="s">
        <v>51</v>
      </c>
      <c r="I113" s="119" t="s">
        <v>10</v>
      </c>
      <c r="J113" s="119"/>
      <c r="K113" s="119"/>
      <c r="L113" s="120"/>
      <c r="M113" s="21">
        <f>F112/30*7+G112/30*7</f>
        <v>25.67226890756303</v>
      </c>
      <c r="N113" s="21">
        <v>0</v>
      </c>
      <c r="O113" s="21">
        <f>H16740*5+G112/30*5+F112/30*5</f>
        <v>18.337334933973594</v>
      </c>
      <c r="P113" s="21">
        <f>H112/30*45+G112/30*55+F112/30*75</f>
        <v>250.04401760704283</v>
      </c>
      <c r="R113" s="241" t="str">
        <f>A112</f>
        <v>کوکو گوشت</v>
      </c>
      <c r="S113" s="238" t="s">
        <v>1</v>
      </c>
      <c r="T113" s="237">
        <f>B112</f>
        <v>100</v>
      </c>
      <c r="U113" s="238" t="s">
        <v>23</v>
      </c>
      <c r="V113" s="237">
        <f t="shared" si="187"/>
        <v>25.67226890756303</v>
      </c>
      <c r="W113" s="238" t="s">
        <v>24</v>
      </c>
      <c r="X113" s="237">
        <f t="shared" ref="X113" si="224">N113</f>
        <v>0</v>
      </c>
      <c r="Y113" s="238" t="s">
        <v>13</v>
      </c>
      <c r="Z113" s="237">
        <f t="shared" si="159"/>
        <v>18.337334933973594</v>
      </c>
      <c r="AA113" s="238" t="s">
        <v>4</v>
      </c>
      <c r="AB113" s="238">
        <f t="shared" ref="AB113" si="225">P113</f>
        <v>250.04401760704283</v>
      </c>
      <c r="AC113" s="239" t="str">
        <f>R113</f>
        <v>کوکو گوشت</v>
      </c>
      <c r="AD113" s="26" t="s">
        <v>11</v>
      </c>
      <c r="AE113" s="27" t="s">
        <v>12</v>
      </c>
      <c r="AF113" s="28" t="s">
        <v>13</v>
      </c>
      <c r="AG113" s="29" t="s">
        <v>4</v>
      </c>
    </row>
    <row r="114" spans="1:33" ht="12.75" customHeight="1">
      <c r="A114" s="115" t="s">
        <v>193</v>
      </c>
      <c r="B114" s="115">
        <v>100</v>
      </c>
      <c r="C114" s="115" t="s">
        <v>89</v>
      </c>
      <c r="D114" s="116">
        <f t="shared" ref="D114" si="226">B114/250</f>
        <v>0.4</v>
      </c>
      <c r="E114" s="117">
        <f>P115</f>
        <v>248.39604664905872</v>
      </c>
      <c r="F114" s="118">
        <f>B114/1.66</f>
        <v>60.24096385542169</v>
      </c>
      <c r="G114" s="119">
        <f>B114/1.66</f>
        <v>60.24096385542169</v>
      </c>
      <c r="H114" s="119">
        <f>B114/10</f>
        <v>10</v>
      </c>
      <c r="I114" s="119">
        <f>B114/6.66</f>
        <v>15.015015015015015</v>
      </c>
      <c r="J114" s="119"/>
      <c r="K114" s="119"/>
      <c r="L114" s="120"/>
      <c r="M114" s="9" t="s">
        <v>11</v>
      </c>
      <c r="N114" s="9" t="s">
        <v>12</v>
      </c>
      <c r="O114" s="9" t="s">
        <v>13</v>
      </c>
      <c r="P114" s="9" t="s">
        <v>4</v>
      </c>
      <c r="R114" s="236"/>
      <c r="S114" s="232"/>
      <c r="T114" s="230"/>
      <c r="U114" s="232"/>
      <c r="V114" s="230"/>
      <c r="W114" s="232"/>
      <c r="X114" s="230"/>
      <c r="Y114" s="232"/>
      <c r="Z114" s="230"/>
      <c r="AA114" s="232"/>
      <c r="AB114" s="232"/>
      <c r="AC114" s="234"/>
      <c r="AD114" s="26">
        <f>VLOOKUP(AC115,R115:AB116,5,0)</f>
        <v>20.080321285140563</v>
      </c>
      <c r="AE114" s="27">
        <f>VLOOKUP(AC115,R115:AB116,7,0)</f>
        <v>2.5025025025025025</v>
      </c>
      <c r="AF114" s="28">
        <f>VLOOKUP(AC115,R115:AB116,9,0)</f>
        <v>9.6987951807228914</v>
      </c>
      <c r="AG114" s="29">
        <f>VLOOKUP(AC115,R115:AB116,11,0)</f>
        <v>248.39604664905872</v>
      </c>
    </row>
    <row r="115" spans="1:33" ht="12.75" customHeight="1">
      <c r="A115" s="115" t="s">
        <v>0</v>
      </c>
      <c r="B115" s="115" t="s">
        <v>1</v>
      </c>
      <c r="C115" s="115" t="s">
        <v>2</v>
      </c>
      <c r="D115" s="116" t="s">
        <v>3</v>
      </c>
      <c r="E115" s="117" t="s">
        <v>4</v>
      </c>
      <c r="F115" s="118" t="s">
        <v>194</v>
      </c>
      <c r="G115" s="119" t="s">
        <v>37</v>
      </c>
      <c r="H115" s="119" t="s">
        <v>48</v>
      </c>
      <c r="I115" s="119" t="s">
        <v>10</v>
      </c>
      <c r="J115" s="119" t="s">
        <v>113</v>
      </c>
      <c r="K115" s="119"/>
      <c r="L115" s="120"/>
      <c r="M115" s="21">
        <f>F114/30*5+G114/30*5</f>
        <v>20.080321285140563</v>
      </c>
      <c r="N115" s="21">
        <f>I114/30*5</f>
        <v>2.5025025025025025</v>
      </c>
      <c r="O115" s="21">
        <f>H114/30*5+G114/30*2+F114/30*2</f>
        <v>9.6987951807228914</v>
      </c>
      <c r="P115" s="21">
        <f>I114/30*25+H114/30*45+G114/30*55+F114/30*55</f>
        <v>248.39604664905872</v>
      </c>
      <c r="R115" s="241" t="str">
        <f>A114</f>
        <v>کوکو مرغ</v>
      </c>
      <c r="S115" s="238" t="s">
        <v>1</v>
      </c>
      <c r="T115" s="237">
        <f>B114</f>
        <v>100</v>
      </c>
      <c r="U115" s="238" t="s">
        <v>23</v>
      </c>
      <c r="V115" s="237">
        <f t="shared" si="192"/>
        <v>20.080321285140563</v>
      </c>
      <c r="W115" s="238" t="s">
        <v>24</v>
      </c>
      <c r="X115" s="237">
        <f t="shared" ref="X115" si="227">N115</f>
        <v>2.5025025025025025</v>
      </c>
      <c r="Y115" s="238" t="s">
        <v>13</v>
      </c>
      <c r="Z115" s="237">
        <f t="shared" si="163"/>
        <v>9.6987951807228914</v>
      </c>
      <c r="AA115" s="238" t="s">
        <v>4</v>
      </c>
      <c r="AB115" s="238">
        <f t="shared" ref="AB115" si="228">P115</f>
        <v>248.39604664905872</v>
      </c>
      <c r="AC115" s="239" t="str">
        <f>R115</f>
        <v>کوکو مرغ</v>
      </c>
      <c r="AD115" s="26" t="s">
        <v>11</v>
      </c>
      <c r="AE115" s="27" t="s">
        <v>12</v>
      </c>
      <c r="AF115" s="28" t="s">
        <v>13</v>
      </c>
      <c r="AG115" s="29" t="s">
        <v>4</v>
      </c>
    </row>
    <row r="116" spans="1:33" ht="12.75" customHeight="1">
      <c r="A116" s="115" t="s">
        <v>195</v>
      </c>
      <c r="B116" s="115">
        <v>100</v>
      </c>
      <c r="C116" s="115" t="s">
        <v>89</v>
      </c>
      <c r="D116" s="116">
        <f t="shared" ref="D116" si="229">B116/250</f>
        <v>0.4</v>
      </c>
      <c r="E116" s="117">
        <f>P117</f>
        <v>230.04401760704283</v>
      </c>
      <c r="F116" s="118">
        <f>B116/0.5</f>
        <v>200</v>
      </c>
      <c r="G116" s="119">
        <f>B116/1.666</f>
        <v>60.024009603841542</v>
      </c>
      <c r="H116" s="119">
        <f>B116/10</f>
        <v>10</v>
      </c>
      <c r="I116" s="119">
        <f>B116/10</f>
        <v>10</v>
      </c>
      <c r="J116" s="119">
        <f>B116/20</f>
        <v>5</v>
      </c>
      <c r="K116" s="119"/>
      <c r="L116" s="120"/>
      <c r="M116" s="9" t="s">
        <v>11</v>
      </c>
      <c r="N116" s="9" t="s">
        <v>12</v>
      </c>
      <c r="O116" s="9" t="s">
        <v>13</v>
      </c>
      <c r="P116" s="9" t="s">
        <v>4</v>
      </c>
      <c r="R116" s="236"/>
      <c r="S116" s="232"/>
      <c r="T116" s="230"/>
      <c r="U116" s="232"/>
      <c r="V116" s="230"/>
      <c r="W116" s="232"/>
      <c r="X116" s="230"/>
      <c r="Y116" s="232"/>
      <c r="Z116" s="230"/>
      <c r="AA116" s="232"/>
      <c r="AB116" s="232"/>
      <c r="AC116" s="234"/>
      <c r="AD116" s="26">
        <f>VLOOKUP(AC117,R117:AB118,5,0)</f>
        <v>16.670668267306926</v>
      </c>
      <c r="AE116" s="27">
        <f>VLOOKUP(AC117,R117:AB118,7,0)</f>
        <v>3.8333333333333335</v>
      </c>
      <c r="AF116" s="28">
        <f>VLOOKUP(AC117,R117:AB118,9,0)</f>
        <v>11.670668267306924</v>
      </c>
      <c r="AG116" s="29">
        <f>VLOOKUP(AC117,R117:AB118,11,0)</f>
        <v>230.04401760704283</v>
      </c>
    </row>
    <row r="117" spans="1:33" ht="12.75" customHeight="1">
      <c r="A117" s="115" t="s">
        <v>0</v>
      </c>
      <c r="B117" s="115" t="s">
        <v>1</v>
      </c>
      <c r="C117" s="115" t="s">
        <v>2</v>
      </c>
      <c r="D117" s="116" t="s">
        <v>3</v>
      </c>
      <c r="E117" s="117" t="s">
        <v>4</v>
      </c>
      <c r="F117" s="118" t="s">
        <v>50</v>
      </c>
      <c r="G117" s="119" t="s">
        <v>37</v>
      </c>
      <c r="H117" s="119" t="s">
        <v>47</v>
      </c>
      <c r="I117" s="119" t="s">
        <v>51</v>
      </c>
      <c r="J117" s="119"/>
      <c r="K117" s="119"/>
      <c r="L117" s="120"/>
      <c r="M117" s="21">
        <f>F116/30*1+G116/30*5</f>
        <v>16.670668267306926</v>
      </c>
      <c r="N117" s="21">
        <f>F116/30/5+J116/30*15</f>
        <v>3.8333333333333335</v>
      </c>
      <c r="O117" s="21">
        <f>G116/30*5+H116/30*5</f>
        <v>11.670668267306924</v>
      </c>
      <c r="P117" s="21">
        <f>F116/30*15+G116/30*55+H116/30*45+I116/30*5+J116/30*20</f>
        <v>230.04401760704283</v>
      </c>
      <c r="R117" s="241" t="str">
        <f>A116</f>
        <v>کوکو اسفناج</v>
      </c>
      <c r="S117" s="238" t="s">
        <v>1</v>
      </c>
      <c r="T117" s="237">
        <f>B116</f>
        <v>100</v>
      </c>
      <c r="U117" s="238" t="s">
        <v>23</v>
      </c>
      <c r="V117" s="237">
        <f t="shared" si="196"/>
        <v>16.670668267306926</v>
      </c>
      <c r="W117" s="238" t="s">
        <v>24</v>
      </c>
      <c r="X117" s="237">
        <f t="shared" ref="X117" si="230">N117</f>
        <v>3.8333333333333335</v>
      </c>
      <c r="Y117" s="238" t="s">
        <v>13</v>
      </c>
      <c r="Z117" s="237">
        <f t="shared" si="167"/>
        <v>11.670668267306924</v>
      </c>
      <c r="AA117" s="238" t="s">
        <v>4</v>
      </c>
      <c r="AB117" s="238">
        <f t="shared" ref="AB117" si="231">P117</f>
        <v>230.04401760704283</v>
      </c>
      <c r="AC117" s="239" t="str">
        <f>R117</f>
        <v>کوکو اسفناج</v>
      </c>
      <c r="AD117" s="26" t="s">
        <v>11</v>
      </c>
      <c r="AE117" s="27" t="s">
        <v>12</v>
      </c>
      <c r="AF117" s="28" t="s">
        <v>13</v>
      </c>
      <c r="AG117" s="29" t="s">
        <v>4</v>
      </c>
    </row>
    <row r="118" spans="1:33" ht="12.75" customHeight="1">
      <c r="A118" s="115" t="s">
        <v>196</v>
      </c>
      <c r="B118" s="115">
        <v>100</v>
      </c>
      <c r="C118" s="115" t="s">
        <v>89</v>
      </c>
      <c r="D118" s="116">
        <f t="shared" ref="D118" si="232">B118/250</f>
        <v>0.4</v>
      </c>
      <c r="E118" s="117">
        <f>P119</f>
        <v>192.30923694779116</v>
      </c>
      <c r="F118" s="118">
        <f>B118/1.66</f>
        <v>60.24096385542169</v>
      </c>
      <c r="G118" s="119">
        <f>B118/1.66</f>
        <v>60.24096385542169</v>
      </c>
      <c r="H118" s="119">
        <f>B118/5</f>
        <v>20</v>
      </c>
      <c r="I118" s="119">
        <f>B118/10</f>
        <v>10</v>
      </c>
      <c r="J118" s="119"/>
      <c r="K118" s="119"/>
      <c r="L118" s="120"/>
      <c r="M118" s="9" t="s">
        <v>11</v>
      </c>
      <c r="N118" s="9" t="s">
        <v>12</v>
      </c>
      <c r="O118" s="9" t="s">
        <v>13</v>
      </c>
      <c r="P118" s="9" t="s">
        <v>4</v>
      </c>
      <c r="R118" s="236"/>
      <c r="S118" s="232"/>
      <c r="T118" s="230"/>
      <c r="U118" s="232"/>
      <c r="V118" s="230"/>
      <c r="W118" s="232"/>
      <c r="X118" s="230"/>
      <c r="Y118" s="232"/>
      <c r="Z118" s="230"/>
      <c r="AA118" s="232"/>
      <c r="AB118" s="232"/>
      <c r="AC118" s="234"/>
      <c r="AD118" s="26">
        <f>VLOOKUP(AC119,R119:AB120,5,0)</f>
        <v>15.060240963855422</v>
      </c>
      <c r="AE118" s="27">
        <f>VLOOKUP(AC119,R119:AB120,7,0)</f>
        <v>13.373493975903614</v>
      </c>
      <c r="AF118" s="28">
        <f>VLOOKUP(AC119,R119:AB120,9,0)</f>
        <v>5.6827309236947787</v>
      </c>
      <c r="AG118" s="29">
        <f>VLOOKUP(AC119,R119:AB120,11,0)</f>
        <v>192.30923694779116</v>
      </c>
    </row>
    <row r="119" spans="1:33" ht="12.75" customHeight="1">
      <c r="A119" s="115" t="s">
        <v>0</v>
      </c>
      <c r="B119" s="115" t="s">
        <v>1</v>
      </c>
      <c r="C119" s="115" t="s">
        <v>2</v>
      </c>
      <c r="D119" s="116" t="s">
        <v>3</v>
      </c>
      <c r="E119" s="117" t="s">
        <v>4</v>
      </c>
      <c r="F119" s="118" t="s">
        <v>197</v>
      </c>
      <c r="G119" s="119" t="s">
        <v>37</v>
      </c>
      <c r="H119" s="119" t="s">
        <v>10</v>
      </c>
      <c r="I119" s="119" t="s">
        <v>51</v>
      </c>
      <c r="J119" s="119" t="s">
        <v>40</v>
      </c>
      <c r="K119" s="119"/>
      <c r="L119" s="120"/>
      <c r="M119" s="21">
        <f>F118/30*0.5+G118/30*7</f>
        <v>15.060240963855422</v>
      </c>
      <c r="N119" s="21">
        <f>F118/30*5+H118/30*5</f>
        <v>13.373493975903614</v>
      </c>
      <c r="O119" s="21">
        <f>I118/30*5+G118/30*2</f>
        <v>5.6827309236947787</v>
      </c>
      <c r="P119" s="21">
        <f>F118/30*25+G118/30*55+H118/30*25+I118/30*45</f>
        <v>192.30923694779116</v>
      </c>
      <c r="R119" s="241" t="str">
        <f>A118</f>
        <v>کوکو لوبیا سبز</v>
      </c>
      <c r="S119" s="238" t="s">
        <v>1</v>
      </c>
      <c r="T119" s="237">
        <f>B118</f>
        <v>100</v>
      </c>
      <c r="U119" s="238" t="s">
        <v>23</v>
      </c>
      <c r="V119" s="237">
        <f t="shared" si="200"/>
        <v>15.060240963855422</v>
      </c>
      <c r="W119" s="238" t="s">
        <v>24</v>
      </c>
      <c r="X119" s="237">
        <f t="shared" ref="X119" si="233">N119</f>
        <v>13.373493975903614</v>
      </c>
      <c r="Y119" s="238" t="s">
        <v>13</v>
      </c>
      <c r="Z119" s="237">
        <f t="shared" si="171"/>
        <v>5.6827309236947787</v>
      </c>
      <c r="AA119" s="238" t="s">
        <v>4</v>
      </c>
      <c r="AB119" s="238">
        <f t="shared" ref="AB119" si="234">P119</f>
        <v>192.30923694779116</v>
      </c>
      <c r="AC119" s="239" t="str">
        <f>R119</f>
        <v>کوکو لوبیا سبز</v>
      </c>
      <c r="AD119" s="26" t="s">
        <v>11</v>
      </c>
      <c r="AE119" s="27" t="s">
        <v>12</v>
      </c>
      <c r="AF119" s="28" t="s">
        <v>13</v>
      </c>
      <c r="AG119" s="29" t="s">
        <v>4</v>
      </c>
    </row>
    <row r="120" spans="1:33" ht="12.75" customHeight="1">
      <c r="A120" s="115" t="s">
        <v>198</v>
      </c>
      <c r="B120" s="115">
        <v>100</v>
      </c>
      <c r="C120" s="115" t="s">
        <v>89</v>
      </c>
      <c r="D120" s="116">
        <f t="shared" ref="D120" si="235">B120/250</f>
        <v>0.4</v>
      </c>
      <c r="E120" s="117">
        <f>P121</f>
        <v>233.77510040160644</v>
      </c>
      <c r="F120" s="118">
        <f>B120/1</f>
        <v>100</v>
      </c>
      <c r="G120" s="119">
        <f>B120/1.66</f>
        <v>60.24096385542169</v>
      </c>
      <c r="H120" s="119">
        <f>B120/10</f>
        <v>10</v>
      </c>
      <c r="I120" s="119">
        <f>B120/10</f>
        <v>10</v>
      </c>
      <c r="J120" s="119">
        <f>B120/10</f>
        <v>10</v>
      </c>
      <c r="K120" s="119"/>
      <c r="L120" s="120"/>
      <c r="M120" s="9" t="s">
        <v>11</v>
      </c>
      <c r="N120" s="9" t="s">
        <v>12</v>
      </c>
      <c r="O120" s="9" t="s">
        <v>13</v>
      </c>
      <c r="P120" s="9" t="s">
        <v>4</v>
      </c>
      <c r="R120" s="236"/>
      <c r="S120" s="232"/>
      <c r="T120" s="230"/>
      <c r="U120" s="232"/>
      <c r="V120" s="230"/>
      <c r="W120" s="232"/>
      <c r="X120" s="230"/>
      <c r="Y120" s="232"/>
      <c r="Z120" s="230"/>
      <c r="AA120" s="232"/>
      <c r="AB120" s="232"/>
      <c r="AC120" s="234"/>
      <c r="AD120" s="26">
        <f>VLOOKUP(AC121,R121:AB122,5,0)</f>
        <v>17.222891566265062</v>
      </c>
      <c r="AE120" s="27">
        <f>VLOOKUP(AC121,R121:AB122,7,0)</f>
        <v>19.733333333333334</v>
      </c>
      <c r="AF120" s="28">
        <f>VLOOKUP(AC121,R121:AB122,9,0)</f>
        <v>10.174698795180722</v>
      </c>
      <c r="AG120" s="29">
        <f>VLOOKUP(AC121,R121:AB122,11,0)</f>
        <v>233.77510040160644</v>
      </c>
    </row>
    <row r="121" spans="1:33" ht="12.75" customHeight="1">
      <c r="A121" s="115" t="s">
        <v>0</v>
      </c>
      <c r="B121" s="115" t="s">
        <v>1</v>
      </c>
      <c r="C121" s="115" t="s">
        <v>2</v>
      </c>
      <c r="D121" s="116" t="s">
        <v>3</v>
      </c>
      <c r="E121" s="117" t="s">
        <v>4</v>
      </c>
      <c r="F121" s="118" t="s">
        <v>5</v>
      </c>
      <c r="G121" s="119" t="s">
        <v>27</v>
      </c>
      <c r="H121" s="119" t="s">
        <v>128</v>
      </c>
      <c r="I121" s="119" t="s">
        <v>10</v>
      </c>
      <c r="J121" s="119" t="s">
        <v>51</v>
      </c>
      <c r="K121" s="119"/>
      <c r="L121" s="120"/>
      <c r="M121" s="21">
        <f>F120/30*0.5+G120/30*7+J120/100*15</f>
        <v>17.222891566265062</v>
      </c>
      <c r="N121" s="21">
        <f>F120/30*5+H120/30*5+J120/100*14</f>
        <v>19.733333333333334</v>
      </c>
      <c r="O121" s="21">
        <f>I120/30*5+G120/30*1+J120/100*65</f>
        <v>10.174698795180722</v>
      </c>
      <c r="P121" s="21">
        <f>J120/30*50+I120/30*45+H120/30*25+G120/30*55+F120/30*25</f>
        <v>233.77510040160644</v>
      </c>
      <c r="R121" s="241" t="str">
        <f>A120</f>
        <v>کوکو بروکلی</v>
      </c>
      <c r="S121" s="238" t="s">
        <v>1</v>
      </c>
      <c r="T121" s="237">
        <f>B120</f>
        <v>100</v>
      </c>
      <c r="U121" s="238" t="s">
        <v>23</v>
      </c>
      <c r="V121" s="237">
        <f t="shared" si="203"/>
        <v>17.222891566265062</v>
      </c>
      <c r="W121" s="238" t="s">
        <v>24</v>
      </c>
      <c r="X121" s="237">
        <f t="shared" ref="X121" si="236">N121</f>
        <v>19.733333333333334</v>
      </c>
      <c r="Y121" s="238" t="s">
        <v>13</v>
      </c>
      <c r="Z121" s="237">
        <f t="shared" si="175"/>
        <v>10.174698795180722</v>
      </c>
      <c r="AA121" s="238" t="s">
        <v>4</v>
      </c>
      <c r="AB121" s="238">
        <f t="shared" ref="AB121" si="237">P121</f>
        <v>233.77510040160644</v>
      </c>
      <c r="AC121" s="239" t="str">
        <f>R121</f>
        <v>کوکو بروکلی</v>
      </c>
      <c r="AD121" s="26" t="s">
        <v>11</v>
      </c>
      <c r="AE121" s="27" t="s">
        <v>12</v>
      </c>
      <c r="AF121" s="28" t="s">
        <v>13</v>
      </c>
      <c r="AG121" s="29" t="s">
        <v>4</v>
      </c>
    </row>
    <row r="122" spans="1:33" ht="12.75" customHeight="1">
      <c r="A122" s="115" t="s">
        <v>199</v>
      </c>
      <c r="B122" s="115">
        <v>100</v>
      </c>
      <c r="C122" s="115" t="s">
        <v>89</v>
      </c>
      <c r="D122" s="116">
        <f t="shared" ref="D122" si="238">B122/250</f>
        <v>0.4</v>
      </c>
      <c r="E122" s="117">
        <f>P123</f>
        <v>278.77510040160644</v>
      </c>
      <c r="F122" s="118">
        <f>B122/2</f>
        <v>50</v>
      </c>
      <c r="G122" s="119">
        <f>B122/10</f>
        <v>10</v>
      </c>
      <c r="H122" s="119">
        <f>B122/1.66</f>
        <v>60.24096385542169</v>
      </c>
      <c r="I122" s="119">
        <f>B122/10</f>
        <v>10</v>
      </c>
      <c r="J122" s="119">
        <f>B122/10</f>
        <v>10</v>
      </c>
      <c r="K122" s="119"/>
      <c r="L122" s="120"/>
      <c r="M122" s="9" t="s">
        <v>11</v>
      </c>
      <c r="N122" s="9" t="s">
        <v>12</v>
      </c>
      <c r="O122" s="9" t="s">
        <v>13</v>
      </c>
      <c r="P122" s="9" t="s">
        <v>4</v>
      </c>
      <c r="R122" s="236"/>
      <c r="S122" s="232"/>
      <c r="T122" s="230"/>
      <c r="U122" s="232"/>
      <c r="V122" s="230"/>
      <c r="W122" s="232"/>
      <c r="X122" s="230"/>
      <c r="Y122" s="232"/>
      <c r="Z122" s="230"/>
      <c r="AA122" s="232"/>
      <c r="AB122" s="232"/>
      <c r="AC122" s="234"/>
      <c r="AD122" s="121">
        <f>VLOOKUP(AC123,R123:AB124,5,0)</f>
        <v>28.056224899598394</v>
      </c>
      <c r="AE122" s="122">
        <f>VLOOKUP(AC123,R123:AB124,7,0)</f>
        <v>5</v>
      </c>
      <c r="AF122" s="123">
        <f>VLOOKUP(AC123,R123:AB124,9,0)</f>
        <v>10.34136546184739</v>
      </c>
      <c r="AG122" s="124">
        <f>VLOOKUP(AC123,R123:AB124,11,0)</f>
        <v>278.77510040160644</v>
      </c>
    </row>
    <row r="123" spans="1:33" ht="12.75" customHeight="1">
      <c r="A123" s="125" t="s">
        <v>0</v>
      </c>
      <c r="B123" s="125" t="s">
        <v>1</v>
      </c>
      <c r="C123" s="115" t="s">
        <v>2</v>
      </c>
      <c r="D123" s="116" t="s">
        <v>3</v>
      </c>
      <c r="E123" s="126" t="s">
        <v>4</v>
      </c>
      <c r="F123" s="127" t="s">
        <v>54</v>
      </c>
      <c r="G123" s="128" t="s">
        <v>6</v>
      </c>
      <c r="H123" s="128" t="s">
        <v>200</v>
      </c>
      <c r="I123" s="128" t="s">
        <v>37</v>
      </c>
      <c r="J123" s="128" t="s">
        <v>51</v>
      </c>
      <c r="K123" s="128"/>
      <c r="L123" s="129"/>
      <c r="M123" s="21">
        <f>F122/30*7+G122/30*7+H122/30*7</f>
        <v>28.056224899598394</v>
      </c>
      <c r="N123" s="21">
        <f>G122/30*15</f>
        <v>5</v>
      </c>
      <c r="O123" s="21">
        <f>F122/30*5+H122/60*2</f>
        <v>10.34136546184739</v>
      </c>
      <c r="P123" s="21">
        <f>J122/30*45+I122/30*25+H122/30*55+G122/30*60+F122/30*75</f>
        <v>278.77510040160644</v>
      </c>
      <c r="R123" s="241" t="str">
        <f>A122</f>
        <v>شامی کباب</v>
      </c>
      <c r="S123" s="238" t="s">
        <v>1</v>
      </c>
      <c r="T123" s="237">
        <f>B122</f>
        <v>100</v>
      </c>
      <c r="U123" s="238" t="s">
        <v>23</v>
      </c>
      <c r="V123" s="237">
        <f t="shared" si="207"/>
        <v>28.056224899598394</v>
      </c>
      <c r="W123" s="238" t="s">
        <v>24</v>
      </c>
      <c r="X123" s="237">
        <f t="shared" ref="X123" si="239">N123</f>
        <v>5</v>
      </c>
      <c r="Y123" s="238" t="s">
        <v>13</v>
      </c>
      <c r="Z123" s="237">
        <f t="shared" ref="Z123" si="240">O123</f>
        <v>10.34136546184739</v>
      </c>
      <c r="AA123" s="238" t="s">
        <v>4</v>
      </c>
      <c r="AB123" s="238">
        <f t="shared" ref="AB123" si="241">P123</f>
        <v>278.77510040160644</v>
      </c>
      <c r="AC123" s="239" t="str">
        <f>R123</f>
        <v>شامی کباب</v>
      </c>
      <c r="AD123" s="121" t="s">
        <v>11</v>
      </c>
      <c r="AE123" s="122" t="s">
        <v>12</v>
      </c>
      <c r="AF123" s="123" t="s">
        <v>13</v>
      </c>
      <c r="AG123" s="124" t="s">
        <v>4</v>
      </c>
    </row>
    <row r="124" spans="1:33" s="132" customFormat="1" ht="12.75" customHeight="1">
      <c r="A124" s="125" t="s">
        <v>201</v>
      </c>
      <c r="B124" s="125">
        <v>100</v>
      </c>
      <c r="C124" s="115" t="s">
        <v>89</v>
      </c>
      <c r="D124" s="116">
        <f t="shared" ref="D124" si="242">B124/250</f>
        <v>0.4</v>
      </c>
      <c r="E124" s="126">
        <f>P125</f>
        <v>327.66543652085818</v>
      </c>
      <c r="F124" s="130">
        <f>B124/3.33</f>
        <v>30.03003003003003</v>
      </c>
      <c r="G124" s="128">
        <f>B124/1.66</f>
        <v>60.24096385542169</v>
      </c>
      <c r="H124" s="128">
        <f>B124/10</f>
        <v>10</v>
      </c>
      <c r="I124" s="128">
        <f>B124/1.66</f>
        <v>60.24096385542169</v>
      </c>
      <c r="J124" s="128">
        <v>10</v>
      </c>
      <c r="K124" s="128"/>
      <c r="L124" s="129"/>
      <c r="M124" s="131" t="s">
        <v>11</v>
      </c>
      <c r="N124" s="131" t="s">
        <v>12</v>
      </c>
      <c r="O124" s="131" t="s">
        <v>13</v>
      </c>
      <c r="P124" s="131" t="s">
        <v>4</v>
      </c>
      <c r="R124" s="236"/>
      <c r="S124" s="232"/>
      <c r="T124" s="230"/>
      <c r="U124" s="232"/>
      <c r="V124" s="230"/>
      <c r="W124" s="232"/>
      <c r="X124" s="230"/>
      <c r="Y124" s="232"/>
      <c r="Z124" s="230"/>
      <c r="AA124" s="232"/>
      <c r="AB124" s="232"/>
      <c r="AC124" s="234"/>
      <c r="AD124" s="26">
        <f>VLOOKUP(AC125,R125:AB126,5,0)</f>
        <v>21.063231906605402</v>
      </c>
      <c r="AE124" s="27">
        <f>VLOOKUP(AC125,R125:AB126,7,0)</f>
        <v>35.120481927710841</v>
      </c>
      <c r="AF124" s="28">
        <f>VLOOKUP(AC125,R125:AB126,9,0)</f>
        <v>10.687735928699784</v>
      </c>
      <c r="AG124" s="29">
        <f>VLOOKUP(AC125,R125:AB126,11,0)</f>
        <v>327.66543652085818</v>
      </c>
    </row>
    <row r="125" spans="1:33" s="132" customFormat="1" ht="12.75" customHeight="1">
      <c r="A125" s="115" t="s">
        <v>0</v>
      </c>
      <c r="B125" s="115" t="s">
        <v>1</v>
      </c>
      <c r="C125" s="115" t="s">
        <v>2</v>
      </c>
      <c r="D125" s="116" t="s">
        <v>3</v>
      </c>
      <c r="E125" s="117" t="s">
        <v>4</v>
      </c>
      <c r="F125" s="118" t="s">
        <v>202</v>
      </c>
      <c r="G125" s="119" t="s">
        <v>75</v>
      </c>
      <c r="H125" s="119"/>
      <c r="I125" s="119"/>
      <c r="J125" s="119"/>
      <c r="K125" s="119"/>
      <c r="L125" s="120"/>
      <c r="M125" s="132">
        <f>F124/30*7+I124/30*7</f>
        <v>21.063231906605402</v>
      </c>
      <c r="N125" s="132">
        <f>G124/30*15+H124/30*15</f>
        <v>35.120481927710841</v>
      </c>
      <c r="O125" s="132">
        <f>J124/30*5+F124/30*5+I124/30*2</f>
        <v>10.687735928699784</v>
      </c>
      <c r="P125" s="132">
        <f>J124/30*45+I124/30*55+H124/30*20+G124/30*60+F124/30*75</f>
        <v>327.66543652085818</v>
      </c>
      <c r="R125" s="241" t="str">
        <f>A124</f>
        <v>کتلت</v>
      </c>
      <c r="S125" s="238" t="s">
        <v>1</v>
      </c>
      <c r="T125" s="237">
        <f>B124</f>
        <v>100</v>
      </c>
      <c r="U125" s="238" t="s">
        <v>23</v>
      </c>
      <c r="V125" s="237">
        <f t="shared" si="211"/>
        <v>21.063231906605402</v>
      </c>
      <c r="W125" s="238" t="s">
        <v>24</v>
      </c>
      <c r="X125" s="237">
        <f t="shared" ref="X125" si="243">N125</f>
        <v>35.120481927710841</v>
      </c>
      <c r="Y125" s="238" t="s">
        <v>13</v>
      </c>
      <c r="Z125" s="237">
        <f t="shared" si="127"/>
        <v>10.687735928699784</v>
      </c>
      <c r="AA125" s="238" t="s">
        <v>4</v>
      </c>
      <c r="AB125" s="238">
        <f t="shared" ref="AB125" si="244">P125</f>
        <v>327.66543652085818</v>
      </c>
      <c r="AC125" s="239" t="str">
        <f>R125</f>
        <v>کتلت</v>
      </c>
      <c r="AD125" s="26" t="s">
        <v>11</v>
      </c>
      <c r="AE125" s="27" t="s">
        <v>12</v>
      </c>
      <c r="AF125" s="28" t="s">
        <v>13</v>
      </c>
      <c r="AG125" s="29" t="s">
        <v>4</v>
      </c>
    </row>
    <row r="126" spans="1:33" ht="12.75" customHeight="1">
      <c r="A126" s="115" t="s">
        <v>203</v>
      </c>
      <c r="B126" s="115">
        <v>100</v>
      </c>
      <c r="C126" s="115" t="s">
        <v>89</v>
      </c>
      <c r="D126" s="116">
        <f t="shared" ref="D126" si="245">B126/250</f>
        <v>0.4</v>
      </c>
      <c r="E126" s="117">
        <f>B126/0.476</f>
        <v>210.0840336134454</v>
      </c>
      <c r="F126" s="118">
        <f>B126/0.833</f>
        <v>120.04801920768308</v>
      </c>
      <c r="G126" s="119">
        <f>B126/1.66</f>
        <v>60.24096385542169</v>
      </c>
      <c r="H126" s="119"/>
      <c r="I126" s="119"/>
      <c r="J126" s="119"/>
      <c r="K126" s="119"/>
      <c r="L126" s="120"/>
      <c r="M126" s="9" t="s">
        <v>11</v>
      </c>
      <c r="N126" s="9" t="s">
        <v>12</v>
      </c>
      <c r="O126" s="9" t="s">
        <v>13</v>
      </c>
      <c r="P126" s="9" t="s">
        <v>4</v>
      </c>
      <c r="R126" s="236"/>
      <c r="S126" s="232"/>
      <c r="T126" s="230"/>
      <c r="U126" s="232"/>
      <c r="V126" s="230"/>
      <c r="W126" s="232"/>
      <c r="X126" s="230"/>
      <c r="Y126" s="232"/>
      <c r="Z126" s="230"/>
      <c r="AA126" s="232"/>
      <c r="AB126" s="232"/>
      <c r="AC126" s="234"/>
      <c r="AD126" s="26">
        <f>VLOOKUP(AC127,R127:AB128,5,0)</f>
        <v>27.00513097488523</v>
      </c>
      <c r="AE126" s="27">
        <f>VLOOKUP(AC127,R127:AB128,7,0)</f>
        <v>5</v>
      </c>
      <c r="AF126" s="28">
        <f>VLOOKUP(AC127,R127:AB128,9,0)</f>
        <v>9.0009000900090008</v>
      </c>
      <c r="AG126" s="29">
        <f>VLOOKUP(AC127,R127:AB128,11,0)</f>
        <v>210.0840336134454</v>
      </c>
    </row>
    <row r="127" spans="1:33" ht="12.75" customHeight="1">
      <c r="A127" s="115" t="s">
        <v>0</v>
      </c>
      <c r="B127" s="115" t="s">
        <v>1</v>
      </c>
      <c r="C127" s="115" t="s">
        <v>2</v>
      </c>
      <c r="D127" s="116" t="s">
        <v>3</v>
      </c>
      <c r="E127" s="117" t="s">
        <v>4</v>
      </c>
      <c r="F127" s="118" t="s">
        <v>204</v>
      </c>
      <c r="G127" s="119"/>
      <c r="H127" s="119"/>
      <c r="I127" s="119"/>
      <c r="J127" s="119"/>
      <c r="K127" s="119"/>
      <c r="L127" s="120"/>
      <c r="M127" s="21">
        <f>B126/3.703</f>
        <v>27.00513097488523</v>
      </c>
      <c r="N127" s="21">
        <f>B126/20</f>
        <v>5</v>
      </c>
      <c r="O127" s="21">
        <f>B126/11.11</f>
        <v>9.0009000900090008</v>
      </c>
      <c r="P127" s="21">
        <f>B126/0.476</f>
        <v>210.0840336134454</v>
      </c>
      <c r="R127" s="241" t="str">
        <f>A126</f>
        <v>کباب کوبیده</v>
      </c>
      <c r="S127" s="238" t="s">
        <v>1</v>
      </c>
      <c r="T127" s="237">
        <f>B126</f>
        <v>100</v>
      </c>
      <c r="U127" s="238" t="s">
        <v>23</v>
      </c>
      <c r="V127" s="237">
        <f t="shared" si="215"/>
        <v>27.00513097488523</v>
      </c>
      <c r="W127" s="238" t="s">
        <v>24</v>
      </c>
      <c r="X127" s="237">
        <f t="shared" ref="X127" si="246">N127</f>
        <v>5</v>
      </c>
      <c r="Y127" s="238" t="s">
        <v>13</v>
      </c>
      <c r="Z127" s="237">
        <f t="shared" si="131"/>
        <v>9.0009000900090008</v>
      </c>
      <c r="AA127" s="238" t="s">
        <v>4</v>
      </c>
      <c r="AB127" s="238">
        <f t="shared" ref="AB127" si="247">P127</f>
        <v>210.0840336134454</v>
      </c>
      <c r="AC127" s="239" t="str">
        <f>R127</f>
        <v>کباب کوبیده</v>
      </c>
      <c r="AD127" s="26" t="s">
        <v>11</v>
      </c>
      <c r="AE127" s="27" t="s">
        <v>12</v>
      </c>
      <c r="AF127" s="28" t="s">
        <v>13</v>
      </c>
      <c r="AG127" s="29" t="s">
        <v>4</v>
      </c>
    </row>
    <row r="128" spans="1:33" ht="12.75" customHeight="1">
      <c r="A128" s="115" t="s">
        <v>205</v>
      </c>
      <c r="B128" s="115">
        <v>100</v>
      </c>
      <c r="C128" s="115" t="s">
        <v>89</v>
      </c>
      <c r="D128" s="116">
        <f t="shared" ref="D128" si="248">B128/250</f>
        <v>0.4</v>
      </c>
      <c r="E128" s="117">
        <f>P129</f>
        <v>250</v>
      </c>
      <c r="F128" s="118">
        <f>B128/1</f>
        <v>100</v>
      </c>
      <c r="G128" s="119"/>
      <c r="H128" s="119"/>
      <c r="I128" s="119"/>
      <c r="J128" s="119"/>
      <c r="K128" s="119"/>
      <c r="L128" s="120"/>
      <c r="M128" s="9" t="s">
        <v>11</v>
      </c>
      <c r="N128" s="9" t="s">
        <v>12</v>
      </c>
      <c r="O128" s="9" t="s">
        <v>13</v>
      </c>
      <c r="P128" s="9" t="s">
        <v>4</v>
      </c>
      <c r="R128" s="236"/>
      <c r="S128" s="232"/>
      <c r="T128" s="230"/>
      <c r="U128" s="232"/>
      <c r="V128" s="230"/>
      <c r="W128" s="232"/>
      <c r="X128" s="230"/>
      <c r="Y128" s="232"/>
      <c r="Z128" s="230"/>
      <c r="AA128" s="232"/>
      <c r="AB128" s="232"/>
      <c r="AC128" s="234"/>
      <c r="AD128" s="26">
        <f>VLOOKUP(AC129,R129:AB130,5,0)</f>
        <v>23.333333333333336</v>
      </c>
      <c r="AE128" s="27">
        <f>VLOOKUP(AC129,R129:AB130,7,0)</f>
        <v>0</v>
      </c>
      <c r="AF128" s="28">
        <f>VLOOKUP(AC129,R129:AB130,9,0)</f>
        <v>16.666666666666668</v>
      </c>
      <c r="AG128" s="29">
        <f>VLOOKUP(AC129,R129:AB130,11,0)</f>
        <v>250</v>
      </c>
    </row>
    <row r="129" spans="1:33" ht="12.75" customHeight="1">
      <c r="A129" s="115" t="s">
        <v>0</v>
      </c>
      <c r="B129" s="115" t="s">
        <v>1</v>
      </c>
      <c r="C129" s="115" t="s">
        <v>2</v>
      </c>
      <c r="D129" s="116" t="s">
        <v>3</v>
      </c>
      <c r="E129" s="117" t="s">
        <v>4</v>
      </c>
      <c r="F129" s="118" t="s">
        <v>54</v>
      </c>
      <c r="G129" s="119" t="s">
        <v>10</v>
      </c>
      <c r="H129" s="119"/>
      <c r="I129" s="119"/>
      <c r="J129" s="119"/>
      <c r="K129" s="119"/>
      <c r="L129" s="120"/>
      <c r="M129" s="21">
        <f>F128/30*7+G128/30*8</f>
        <v>23.333333333333336</v>
      </c>
      <c r="N129" s="21">
        <v>0</v>
      </c>
      <c r="O129" s="21">
        <f>F128/30*5</f>
        <v>16.666666666666668</v>
      </c>
      <c r="P129" s="21">
        <f>F128/30*75</f>
        <v>250</v>
      </c>
      <c r="R129" s="241" t="str">
        <f>A128</f>
        <v>کباب برگ</v>
      </c>
      <c r="S129" s="238" t="s">
        <v>1</v>
      </c>
      <c r="T129" s="237">
        <f>B128</f>
        <v>100</v>
      </c>
      <c r="U129" s="238" t="s">
        <v>23</v>
      </c>
      <c r="V129" s="237">
        <f t="shared" ref="V129" si="249">M129</f>
        <v>23.333333333333336</v>
      </c>
      <c r="W129" s="238" t="s">
        <v>24</v>
      </c>
      <c r="X129" s="237">
        <f t="shared" ref="X129" si="250">N129</f>
        <v>0</v>
      </c>
      <c r="Y129" s="238" t="s">
        <v>13</v>
      </c>
      <c r="Z129" s="237">
        <f t="shared" si="135"/>
        <v>16.666666666666668</v>
      </c>
      <c r="AA129" s="238" t="s">
        <v>4</v>
      </c>
      <c r="AB129" s="238">
        <f t="shared" ref="AB129" si="251">P129</f>
        <v>250</v>
      </c>
      <c r="AC129" s="239" t="str">
        <f>R129</f>
        <v>کباب برگ</v>
      </c>
      <c r="AD129" s="26" t="s">
        <v>11</v>
      </c>
      <c r="AE129" s="27" t="s">
        <v>12</v>
      </c>
      <c r="AF129" s="28" t="s">
        <v>13</v>
      </c>
      <c r="AG129" s="29" t="s">
        <v>4</v>
      </c>
    </row>
    <row r="130" spans="1:33" ht="12.75" customHeight="1">
      <c r="A130" s="115" t="s">
        <v>206</v>
      </c>
      <c r="B130" s="115">
        <v>100</v>
      </c>
      <c r="C130" s="115" t="s">
        <v>89</v>
      </c>
      <c r="D130" s="116">
        <f t="shared" ref="D130" si="252">B130/250</f>
        <v>0.4</v>
      </c>
      <c r="E130" s="117">
        <f>P131</f>
        <v>275.025025025025</v>
      </c>
      <c r="F130" s="118">
        <f>B130/1</f>
        <v>100</v>
      </c>
      <c r="G130" s="119">
        <f>B130/3.33</f>
        <v>30.03003003003003</v>
      </c>
      <c r="H130" s="119"/>
      <c r="I130" s="119"/>
      <c r="J130" s="119"/>
      <c r="K130" s="119"/>
      <c r="L130" s="120"/>
      <c r="M130" s="9" t="s">
        <v>11</v>
      </c>
      <c r="N130" s="9" t="s">
        <v>12</v>
      </c>
      <c r="O130" s="9" t="s">
        <v>13</v>
      </c>
      <c r="P130" s="9" t="s">
        <v>4</v>
      </c>
      <c r="R130" s="236"/>
      <c r="S130" s="232"/>
      <c r="T130" s="230"/>
      <c r="U130" s="232"/>
      <c r="V130" s="230"/>
      <c r="W130" s="232"/>
      <c r="X130" s="230"/>
      <c r="Y130" s="232"/>
      <c r="Z130" s="230"/>
      <c r="AA130" s="232"/>
      <c r="AB130" s="232"/>
      <c r="AC130" s="234"/>
      <c r="AD130" s="26">
        <f>VLOOKUP(AC131,R131:AB132,5,0)</f>
        <v>23.833833833833836</v>
      </c>
      <c r="AE130" s="27">
        <f>VLOOKUP(AC131,R131:AB132,7,0)</f>
        <v>0</v>
      </c>
      <c r="AF130" s="28">
        <f>VLOOKUP(AC131,R131:AB132,9,0)</f>
        <v>16.666666666666668</v>
      </c>
      <c r="AG130" s="29">
        <f>VLOOKUP(AC131,R131:AB132,11,0)</f>
        <v>275.025025025025</v>
      </c>
    </row>
    <row r="131" spans="1:33" ht="12.75" customHeight="1">
      <c r="A131" s="115" t="s">
        <v>0</v>
      </c>
      <c r="B131" s="115" t="s">
        <v>1</v>
      </c>
      <c r="C131" s="115" t="s">
        <v>2</v>
      </c>
      <c r="D131" s="116" t="s">
        <v>3</v>
      </c>
      <c r="E131" s="117" t="s">
        <v>4</v>
      </c>
      <c r="F131" s="118" t="s">
        <v>207</v>
      </c>
      <c r="G131" s="119"/>
      <c r="H131" s="119"/>
      <c r="I131" s="119"/>
      <c r="J131" s="119"/>
      <c r="K131" s="119"/>
      <c r="L131" s="120"/>
      <c r="M131" s="21">
        <f>F130/30*7+G130/30*0.5</f>
        <v>23.833833833833836</v>
      </c>
      <c r="N131" s="21">
        <v>0</v>
      </c>
      <c r="O131" s="21">
        <f>F130/30*5</f>
        <v>16.666666666666668</v>
      </c>
      <c r="P131" s="21">
        <f>F130/30*75+G130/30*25</f>
        <v>275.025025025025</v>
      </c>
      <c r="R131" s="241" t="str">
        <f>A130</f>
        <v>کباب ماهی تابه ای</v>
      </c>
      <c r="S131" s="238" t="s">
        <v>1</v>
      </c>
      <c r="T131" s="237">
        <f>B130</f>
        <v>100</v>
      </c>
      <c r="U131" s="238" t="s">
        <v>23</v>
      </c>
      <c r="V131" s="237">
        <f t="shared" si="187"/>
        <v>23.833833833833836</v>
      </c>
      <c r="W131" s="238" t="s">
        <v>24</v>
      </c>
      <c r="X131" s="237">
        <f t="shared" ref="X131" si="253">N131</f>
        <v>0</v>
      </c>
      <c r="Y131" s="238" t="s">
        <v>13</v>
      </c>
      <c r="Z131" s="237">
        <f t="shared" si="139"/>
        <v>16.666666666666668</v>
      </c>
      <c r="AA131" s="238" t="s">
        <v>4</v>
      </c>
      <c r="AB131" s="238">
        <f t="shared" ref="AB131" si="254">P131</f>
        <v>275.025025025025</v>
      </c>
      <c r="AC131" s="239" t="str">
        <f>R131</f>
        <v>کباب ماهی تابه ای</v>
      </c>
      <c r="AD131" s="26" t="s">
        <v>11</v>
      </c>
      <c r="AE131" s="27" t="s">
        <v>12</v>
      </c>
      <c r="AF131" s="28" t="s">
        <v>13</v>
      </c>
      <c r="AG131" s="29" t="s">
        <v>4</v>
      </c>
    </row>
    <row r="132" spans="1:33" ht="12.75" customHeight="1">
      <c r="A132" s="115" t="s">
        <v>208</v>
      </c>
      <c r="B132" s="115">
        <v>100</v>
      </c>
      <c r="C132" s="115" t="s">
        <v>89</v>
      </c>
      <c r="D132" s="116">
        <f t="shared" ref="D132" si="255">B132/250</f>
        <v>0.4</v>
      </c>
      <c r="E132" s="117">
        <f>P133</f>
        <v>180.18018018018017</v>
      </c>
      <c r="F132" s="118">
        <f>B132/0.769</f>
        <v>130.03901170351105</v>
      </c>
      <c r="G132" s="119"/>
      <c r="H132" s="119"/>
      <c r="I132" s="119"/>
      <c r="J132" s="119"/>
      <c r="K132" s="119"/>
      <c r="L132" s="120"/>
      <c r="M132" s="9" t="s">
        <v>11</v>
      </c>
      <c r="N132" s="9" t="s">
        <v>12</v>
      </c>
      <c r="O132" s="9" t="s">
        <v>13</v>
      </c>
      <c r="P132" s="9" t="s">
        <v>4</v>
      </c>
      <c r="R132" s="236"/>
      <c r="S132" s="232"/>
      <c r="T132" s="230"/>
      <c r="U132" s="232"/>
      <c r="V132" s="230"/>
      <c r="W132" s="232"/>
      <c r="X132" s="230"/>
      <c r="Y132" s="232"/>
      <c r="Z132" s="230"/>
      <c r="AA132" s="232"/>
      <c r="AB132" s="232"/>
      <c r="AC132" s="234"/>
      <c r="AD132" s="26">
        <f>VLOOKUP(AC133,R133:AB134,5,0)</f>
        <v>30.342436064152579</v>
      </c>
      <c r="AE132" s="27">
        <f>VLOOKUP(AC133,R133:AB134,7,0)</f>
        <v>0</v>
      </c>
      <c r="AF132" s="28">
        <f>VLOOKUP(AC133,R133:AB134,9,0)</f>
        <v>4.3346337234503682</v>
      </c>
      <c r="AG132" s="29">
        <f>VLOOKUP(AC133,R133:AB134,11,0)</f>
        <v>180.18018018018017</v>
      </c>
    </row>
    <row r="133" spans="1:33" ht="12.75" customHeight="1">
      <c r="A133" s="115" t="s">
        <v>0</v>
      </c>
      <c r="B133" s="115" t="s">
        <v>1</v>
      </c>
      <c r="C133" s="115" t="s">
        <v>2</v>
      </c>
      <c r="D133" s="116" t="s">
        <v>3</v>
      </c>
      <c r="E133" s="117" t="s">
        <v>4</v>
      </c>
      <c r="F133" s="118" t="s">
        <v>209</v>
      </c>
      <c r="G133" s="119"/>
      <c r="H133" s="119"/>
      <c r="I133" s="119"/>
      <c r="J133" s="119"/>
      <c r="K133" s="119"/>
      <c r="L133" s="120"/>
      <c r="M133" s="21">
        <f>F132/30*7</f>
        <v>30.342436064152579</v>
      </c>
      <c r="N133" s="21">
        <v>0</v>
      </c>
      <c r="O133" s="21">
        <f>F132/30*1</f>
        <v>4.3346337234503682</v>
      </c>
      <c r="P133" s="21">
        <f>B132/0.555</f>
        <v>180.18018018018017</v>
      </c>
      <c r="R133" s="241" t="str">
        <f>A132</f>
        <v>کباب کوبیده مرغ</v>
      </c>
      <c r="S133" s="238" t="s">
        <v>1</v>
      </c>
      <c r="T133" s="237">
        <f>B132</f>
        <v>100</v>
      </c>
      <c r="U133" s="238" t="s">
        <v>23</v>
      </c>
      <c r="V133" s="237">
        <f t="shared" si="192"/>
        <v>30.342436064152579</v>
      </c>
      <c r="W133" s="238" t="s">
        <v>24</v>
      </c>
      <c r="X133" s="237">
        <f t="shared" ref="X133" si="256">N133</f>
        <v>0</v>
      </c>
      <c r="Y133" s="238" t="s">
        <v>13</v>
      </c>
      <c r="Z133" s="237">
        <f t="shared" si="143"/>
        <v>4.3346337234503682</v>
      </c>
      <c r="AA133" s="238" t="s">
        <v>4</v>
      </c>
      <c r="AB133" s="238">
        <f t="shared" ref="AB133" si="257">P133</f>
        <v>180.18018018018017</v>
      </c>
      <c r="AC133" s="239" t="str">
        <f>R133</f>
        <v>کباب کوبیده مرغ</v>
      </c>
      <c r="AD133" s="26" t="s">
        <v>11</v>
      </c>
      <c r="AE133" s="27" t="s">
        <v>12</v>
      </c>
      <c r="AF133" s="28" t="s">
        <v>13</v>
      </c>
      <c r="AG133" s="29" t="s">
        <v>4</v>
      </c>
    </row>
    <row r="134" spans="1:33" ht="12.75" customHeight="1">
      <c r="A134" s="115" t="s">
        <v>210</v>
      </c>
      <c r="B134" s="115">
        <v>100</v>
      </c>
      <c r="C134" s="115" t="s">
        <v>89</v>
      </c>
      <c r="D134" s="116">
        <f t="shared" ref="D134" si="258">B134/250</f>
        <v>0.4</v>
      </c>
      <c r="E134" s="117">
        <f>B134/0.463</f>
        <v>215.98272138228941</v>
      </c>
      <c r="F134" s="118">
        <f>B134/1</f>
        <v>100</v>
      </c>
      <c r="G134" s="119"/>
      <c r="H134" s="119"/>
      <c r="I134" s="119"/>
      <c r="J134" s="119"/>
      <c r="K134" s="119"/>
      <c r="L134" s="120"/>
      <c r="M134" s="9" t="s">
        <v>11</v>
      </c>
      <c r="N134" s="9" t="s">
        <v>12</v>
      </c>
      <c r="O134" s="9" t="s">
        <v>13</v>
      </c>
      <c r="P134" s="9" t="s">
        <v>4</v>
      </c>
      <c r="R134" s="236"/>
      <c r="S134" s="232"/>
      <c r="T134" s="230"/>
      <c r="U134" s="232"/>
      <c r="V134" s="230"/>
      <c r="W134" s="232"/>
      <c r="X134" s="230"/>
      <c r="Y134" s="232"/>
      <c r="Z134" s="230"/>
      <c r="AA134" s="232"/>
      <c r="AB134" s="232"/>
      <c r="AC134" s="234"/>
      <c r="AD134" s="26">
        <f>VLOOKUP(AC135,R135:AB136,5,0)</f>
        <v>0</v>
      </c>
      <c r="AE134" s="27">
        <f>VLOOKUP(AC135,R135:AB136,7,0)</f>
        <v>0</v>
      </c>
      <c r="AF134" s="28">
        <f>VLOOKUP(AC135,R135:AB136,9,0)</f>
        <v>0</v>
      </c>
      <c r="AG134" s="29">
        <f>VLOOKUP(AC135,R135:AB136,11,0)</f>
        <v>0</v>
      </c>
    </row>
    <row r="135" spans="1:33" ht="12.75" customHeight="1">
      <c r="A135" s="115" t="s">
        <v>0</v>
      </c>
      <c r="B135" s="115" t="s">
        <v>1</v>
      </c>
      <c r="C135" s="115" t="s">
        <v>2</v>
      </c>
      <c r="D135" s="116" t="s">
        <v>3</v>
      </c>
      <c r="E135" s="117" t="s">
        <v>4</v>
      </c>
      <c r="F135" s="118" t="s">
        <v>211</v>
      </c>
      <c r="G135" s="119"/>
      <c r="H135" s="119"/>
      <c r="I135" s="119"/>
      <c r="J135" s="119"/>
      <c r="K135" s="119"/>
      <c r="L135" s="120"/>
      <c r="R135" s="241" t="str">
        <f>A134</f>
        <v>جوجه کباب لاری</v>
      </c>
      <c r="S135" s="238" t="s">
        <v>1</v>
      </c>
      <c r="T135" s="237">
        <f>B134</f>
        <v>100</v>
      </c>
      <c r="U135" s="238" t="s">
        <v>23</v>
      </c>
      <c r="V135" s="237">
        <f t="shared" si="196"/>
        <v>0</v>
      </c>
      <c r="W135" s="238" t="s">
        <v>24</v>
      </c>
      <c r="X135" s="237">
        <f t="shared" ref="X135" si="259">N135</f>
        <v>0</v>
      </c>
      <c r="Y135" s="238" t="s">
        <v>13</v>
      </c>
      <c r="Z135" s="237">
        <f t="shared" si="148"/>
        <v>0</v>
      </c>
      <c r="AA135" s="238" t="s">
        <v>4</v>
      </c>
      <c r="AB135" s="238">
        <f t="shared" ref="AB135" si="260">P135</f>
        <v>0</v>
      </c>
      <c r="AC135" s="239" t="str">
        <f>R135</f>
        <v>جوجه کباب لاری</v>
      </c>
      <c r="AD135" s="26" t="s">
        <v>11</v>
      </c>
      <c r="AE135" s="27" t="s">
        <v>12</v>
      </c>
      <c r="AF135" s="28" t="s">
        <v>13</v>
      </c>
      <c r="AG135" s="29" t="s">
        <v>4</v>
      </c>
    </row>
    <row r="136" spans="1:33" ht="12.75" customHeight="1">
      <c r="A136" s="115" t="s">
        <v>212</v>
      </c>
      <c r="B136" s="115">
        <v>100</v>
      </c>
      <c r="C136" s="115" t="s">
        <v>89</v>
      </c>
      <c r="D136" s="116">
        <f t="shared" ref="D136" si="261">B136/250</f>
        <v>0.4</v>
      </c>
      <c r="E136" s="117">
        <f>B136/0.795</f>
        <v>125.78616352201257</v>
      </c>
      <c r="F136" s="118">
        <f>B136/0.769</f>
        <v>130.03901170351105</v>
      </c>
      <c r="G136" s="119"/>
      <c r="H136" s="119"/>
      <c r="I136" s="119"/>
      <c r="J136" s="119"/>
      <c r="K136" s="119"/>
      <c r="L136" s="120"/>
      <c r="M136" s="9" t="s">
        <v>11</v>
      </c>
      <c r="N136" s="9" t="s">
        <v>12</v>
      </c>
      <c r="O136" s="9" t="s">
        <v>13</v>
      </c>
      <c r="P136" s="9" t="s">
        <v>4</v>
      </c>
      <c r="R136" s="236"/>
      <c r="S136" s="232"/>
      <c r="T136" s="230"/>
      <c r="U136" s="232"/>
      <c r="V136" s="230"/>
      <c r="W136" s="232"/>
      <c r="X136" s="230"/>
      <c r="Y136" s="232"/>
      <c r="Z136" s="230"/>
      <c r="AA136" s="232"/>
      <c r="AB136" s="232"/>
      <c r="AC136" s="234"/>
      <c r="AD136" s="26">
        <f>VLOOKUP(AC137,R137:AB138,5,0)</f>
        <v>26.007802340702209</v>
      </c>
      <c r="AE136" s="27">
        <f>VLOOKUP(AC137,R137:AB138,7,0)</f>
        <v>0</v>
      </c>
      <c r="AF136" s="28">
        <f>VLOOKUP(AC137,R137:AB138,9,0)</f>
        <v>0</v>
      </c>
      <c r="AG136" s="29">
        <f>VLOOKUP(AC137,R137:AB138,11,0)</f>
        <v>126.10340479192938</v>
      </c>
    </row>
    <row r="137" spans="1:33" ht="12.75" customHeight="1">
      <c r="A137" s="115" t="s">
        <v>0</v>
      </c>
      <c r="B137" s="115" t="s">
        <v>1</v>
      </c>
      <c r="C137" s="115" t="s">
        <v>2</v>
      </c>
      <c r="D137" s="116" t="s">
        <v>3</v>
      </c>
      <c r="E137" s="117" t="s">
        <v>4</v>
      </c>
      <c r="F137" s="118" t="s">
        <v>213</v>
      </c>
      <c r="G137" s="119"/>
      <c r="H137" s="119"/>
      <c r="I137" s="119"/>
      <c r="J137" s="119"/>
      <c r="K137" s="119"/>
      <c r="L137" s="120"/>
      <c r="M137" s="21">
        <f>F136/30*6</f>
        <v>26.007802340702209</v>
      </c>
      <c r="P137" s="21">
        <f>B136/0.793</f>
        <v>126.10340479192938</v>
      </c>
      <c r="R137" s="241" t="str">
        <f>A136</f>
        <v>ماهی کباب</v>
      </c>
      <c r="S137" s="238" t="s">
        <v>1</v>
      </c>
      <c r="T137" s="237">
        <f>B136</f>
        <v>100</v>
      </c>
      <c r="U137" s="238" t="s">
        <v>23</v>
      </c>
      <c r="V137" s="237">
        <f t="shared" si="200"/>
        <v>26.007802340702209</v>
      </c>
      <c r="W137" s="238" t="s">
        <v>24</v>
      </c>
      <c r="X137" s="237">
        <f t="shared" ref="X137" si="262">N137</f>
        <v>0</v>
      </c>
      <c r="Y137" s="238" t="s">
        <v>13</v>
      </c>
      <c r="Z137" s="237">
        <f t="shared" si="152"/>
        <v>0</v>
      </c>
      <c r="AA137" s="238" t="s">
        <v>4</v>
      </c>
      <c r="AB137" s="238">
        <f t="shared" ref="AB137" si="263">P137</f>
        <v>126.10340479192938</v>
      </c>
      <c r="AC137" s="239" t="str">
        <f>R137</f>
        <v>ماهی کباب</v>
      </c>
      <c r="AD137" s="26" t="s">
        <v>11</v>
      </c>
      <c r="AE137" s="27" t="s">
        <v>12</v>
      </c>
      <c r="AF137" s="28" t="s">
        <v>13</v>
      </c>
      <c r="AG137" s="29" t="s">
        <v>4</v>
      </c>
    </row>
    <row r="138" spans="1:33" ht="12.75" customHeight="1">
      <c r="A138" s="115" t="s">
        <v>214</v>
      </c>
      <c r="B138" s="115">
        <v>100</v>
      </c>
      <c r="C138" s="115" t="s">
        <v>89</v>
      </c>
      <c r="D138" s="116">
        <f t="shared" ref="D138" si="264">B138/250</f>
        <v>0.4</v>
      </c>
      <c r="E138" s="117">
        <f>B138/0.476</f>
        <v>210.0840336134454</v>
      </c>
      <c r="F138" s="118">
        <f>B138/0.769</f>
        <v>130.03901170351105</v>
      </c>
      <c r="G138" s="119"/>
      <c r="H138" s="119"/>
      <c r="I138" s="119"/>
      <c r="J138" s="119"/>
      <c r="K138" s="119"/>
      <c r="L138" s="120"/>
      <c r="M138" s="9" t="s">
        <v>11</v>
      </c>
      <c r="N138" s="9" t="s">
        <v>12</v>
      </c>
      <c r="O138" s="9" t="s">
        <v>13</v>
      </c>
      <c r="P138" s="9" t="s">
        <v>4</v>
      </c>
      <c r="R138" s="236"/>
      <c r="S138" s="232"/>
      <c r="T138" s="230"/>
      <c r="U138" s="232"/>
      <c r="V138" s="230"/>
      <c r="W138" s="232"/>
      <c r="X138" s="230"/>
      <c r="Y138" s="232"/>
      <c r="Z138" s="230"/>
      <c r="AA138" s="232"/>
      <c r="AB138" s="232"/>
      <c r="AC138" s="234"/>
      <c r="AD138" s="26">
        <f>VLOOKUP(AC139,R139:AB140,5,0)</f>
        <v>30.342436064152579</v>
      </c>
      <c r="AE138" s="27">
        <f>VLOOKUP(AC139,R139:AB140,7,0)</f>
        <v>0</v>
      </c>
      <c r="AF138" s="28">
        <f>VLOOKUP(AC139,R139:AB140,9,0)</f>
        <v>8.6692674469007365</v>
      </c>
      <c r="AG138" s="29">
        <f>VLOOKUP(AC139,R139:AB140,11,0)</f>
        <v>210.0840336134454</v>
      </c>
    </row>
    <row r="139" spans="1:33" ht="12.75" customHeight="1">
      <c r="A139" s="133" t="s">
        <v>0</v>
      </c>
      <c r="B139" s="133" t="s">
        <v>1</v>
      </c>
      <c r="C139" s="133" t="s">
        <v>2</v>
      </c>
      <c r="D139" s="134" t="s">
        <v>3</v>
      </c>
      <c r="E139" s="135" t="s">
        <v>4</v>
      </c>
      <c r="F139" s="136" t="s">
        <v>54</v>
      </c>
      <c r="G139" s="137" t="s">
        <v>63</v>
      </c>
      <c r="H139" s="137" t="s">
        <v>27</v>
      </c>
      <c r="I139" s="137" t="s">
        <v>88</v>
      </c>
      <c r="J139" s="137" t="s">
        <v>10</v>
      </c>
      <c r="K139" s="137"/>
      <c r="L139" s="138"/>
      <c r="M139" s="21">
        <f>F138/30*7</f>
        <v>30.342436064152579</v>
      </c>
      <c r="O139" s="21">
        <f>F138/30*2</f>
        <v>8.6692674469007365</v>
      </c>
      <c r="P139" s="21">
        <f>B138/0.476</f>
        <v>210.0840336134454</v>
      </c>
      <c r="R139" s="241" t="str">
        <f>A138</f>
        <v>کباب بوقلمون</v>
      </c>
      <c r="S139" s="238" t="s">
        <v>1</v>
      </c>
      <c r="T139" s="237">
        <f>B138</f>
        <v>100</v>
      </c>
      <c r="U139" s="238" t="s">
        <v>23</v>
      </c>
      <c r="V139" s="237">
        <f t="shared" si="203"/>
        <v>30.342436064152579</v>
      </c>
      <c r="W139" s="238" t="s">
        <v>24</v>
      </c>
      <c r="X139" s="237">
        <f t="shared" ref="X139" si="265">N139</f>
        <v>0</v>
      </c>
      <c r="Y139" s="238" t="s">
        <v>13</v>
      </c>
      <c r="Z139" s="237">
        <f t="shared" si="155"/>
        <v>8.6692674469007365</v>
      </c>
      <c r="AA139" s="238" t="s">
        <v>4</v>
      </c>
      <c r="AB139" s="238">
        <f t="shared" ref="AB139" si="266">P139</f>
        <v>210.0840336134454</v>
      </c>
      <c r="AC139" s="239" t="str">
        <f>R139</f>
        <v>کباب بوقلمون</v>
      </c>
      <c r="AD139" s="26" t="s">
        <v>11</v>
      </c>
      <c r="AE139" s="27" t="s">
        <v>12</v>
      </c>
      <c r="AF139" s="28" t="s">
        <v>13</v>
      </c>
      <c r="AG139" s="29" t="s">
        <v>4</v>
      </c>
    </row>
    <row r="140" spans="1:33" ht="12.75" customHeight="1">
      <c r="A140" s="133" t="s">
        <v>215</v>
      </c>
      <c r="B140" s="133">
        <v>150</v>
      </c>
      <c r="C140" s="133" t="s">
        <v>96</v>
      </c>
      <c r="D140" s="134">
        <f>B140/150</f>
        <v>1</v>
      </c>
      <c r="E140" s="135">
        <f>P141</f>
        <v>286.66666666666669</v>
      </c>
      <c r="F140" s="136">
        <f>B140/3</f>
        <v>50</v>
      </c>
      <c r="G140" s="137">
        <f>B140/3.75</f>
        <v>40</v>
      </c>
      <c r="H140" s="137">
        <f>B140/7.5</f>
        <v>20</v>
      </c>
      <c r="I140" s="137">
        <f>B140/5</f>
        <v>30</v>
      </c>
      <c r="J140" s="137">
        <f>B140/7.5</f>
        <v>20</v>
      </c>
      <c r="K140" s="137"/>
      <c r="L140" s="138"/>
      <c r="M140" s="9" t="s">
        <v>11</v>
      </c>
      <c r="N140" s="9" t="s">
        <v>12</v>
      </c>
      <c r="O140" s="9" t="s">
        <v>13</v>
      </c>
      <c r="P140" s="9" t="s">
        <v>4</v>
      </c>
      <c r="R140" s="236"/>
      <c r="S140" s="232"/>
      <c r="T140" s="230"/>
      <c r="U140" s="232"/>
      <c r="V140" s="230"/>
      <c r="W140" s="232"/>
      <c r="X140" s="230"/>
      <c r="Y140" s="232"/>
      <c r="Z140" s="230"/>
      <c r="AA140" s="232"/>
      <c r="AB140" s="232"/>
      <c r="AC140" s="234"/>
      <c r="AD140" s="26">
        <f>VLOOKUP(AC141,R141:AB142,5,0)</f>
        <v>16.333333333333336</v>
      </c>
      <c r="AE140" s="27">
        <f>VLOOKUP(AC141,R141:AB142,7,0)</f>
        <v>30</v>
      </c>
      <c r="AF140" s="28">
        <f>VLOOKUP(AC141,R141:AB142,9,0)</f>
        <v>9</v>
      </c>
      <c r="AG140" s="29">
        <f>VLOOKUP(AC141,R141:AB142,11,0)</f>
        <v>286.66666666666669</v>
      </c>
    </row>
    <row r="141" spans="1:33" ht="12.75" customHeight="1">
      <c r="A141" s="133" t="s">
        <v>0</v>
      </c>
      <c r="B141" s="133" t="s">
        <v>1</v>
      </c>
      <c r="C141" s="133" t="s">
        <v>2</v>
      </c>
      <c r="D141" s="134" t="s">
        <v>3</v>
      </c>
      <c r="E141" s="135" t="s">
        <v>4</v>
      </c>
      <c r="F141" s="136" t="s">
        <v>54</v>
      </c>
      <c r="G141" s="137" t="s">
        <v>63</v>
      </c>
      <c r="H141" s="137" t="s">
        <v>27</v>
      </c>
      <c r="I141" s="137" t="s">
        <v>88</v>
      </c>
      <c r="J141" s="137" t="s">
        <v>10</v>
      </c>
      <c r="K141" s="137"/>
      <c r="L141" s="138"/>
      <c r="M141" s="21">
        <f>F140/30*7+H140/30*7</f>
        <v>16.333333333333336</v>
      </c>
      <c r="N141" s="21">
        <f>G140/30*15+H140/30*15</f>
        <v>30</v>
      </c>
      <c r="O141" s="21">
        <f>F140/30*5+H140/30*1</f>
        <v>9</v>
      </c>
      <c r="P141" s="21">
        <f>F140/30*75+G140/30*60+H140/30*60+I140/30*25+J140/30*25</f>
        <v>286.66666666666669</v>
      </c>
      <c r="R141" s="241" t="str">
        <f>A140</f>
        <v>کوفته سبزی</v>
      </c>
      <c r="S141" s="238" t="s">
        <v>1</v>
      </c>
      <c r="T141" s="237">
        <f>B140</f>
        <v>150</v>
      </c>
      <c r="U141" s="238" t="s">
        <v>23</v>
      </c>
      <c r="V141" s="237">
        <f t="shared" si="207"/>
        <v>16.333333333333336</v>
      </c>
      <c r="W141" s="238" t="s">
        <v>24</v>
      </c>
      <c r="X141" s="237">
        <f t="shared" ref="X141" si="267">N141</f>
        <v>30</v>
      </c>
      <c r="Y141" s="238" t="s">
        <v>13</v>
      </c>
      <c r="Z141" s="237">
        <f t="shared" si="159"/>
        <v>9</v>
      </c>
      <c r="AA141" s="238" t="s">
        <v>4</v>
      </c>
      <c r="AB141" s="238">
        <f t="shared" ref="AB141" si="268">P141</f>
        <v>286.66666666666669</v>
      </c>
      <c r="AC141" s="239" t="str">
        <f>R141</f>
        <v>کوفته سبزی</v>
      </c>
      <c r="AD141" s="26" t="s">
        <v>11</v>
      </c>
      <c r="AE141" s="27" t="s">
        <v>12</v>
      </c>
      <c r="AF141" s="28" t="s">
        <v>13</v>
      </c>
      <c r="AG141" s="29" t="s">
        <v>4</v>
      </c>
    </row>
    <row r="142" spans="1:33" ht="12.75" customHeight="1">
      <c r="A142" s="133" t="s">
        <v>216</v>
      </c>
      <c r="B142" s="133">
        <v>150</v>
      </c>
      <c r="C142" s="133" t="s">
        <v>96</v>
      </c>
      <c r="D142" s="134">
        <f>B142/150</f>
        <v>1</v>
      </c>
      <c r="E142" s="135">
        <f>P143</f>
        <v>375.18762459938932</v>
      </c>
      <c r="F142" s="136">
        <f>B142/1.428</f>
        <v>105.0420168067227</v>
      </c>
      <c r="G142" s="137">
        <f>B142/6.66</f>
        <v>22.522522522522522</v>
      </c>
      <c r="H142" s="137">
        <f>B142/10</f>
        <v>15</v>
      </c>
      <c r="I142" s="137">
        <f>B142/6.66</f>
        <v>22.522522522522522</v>
      </c>
      <c r="J142" s="137">
        <f>B142/6.66</f>
        <v>22.522522522522522</v>
      </c>
      <c r="K142" s="137"/>
      <c r="L142" s="138"/>
      <c r="M142" s="9" t="s">
        <v>11</v>
      </c>
      <c r="N142" s="9" t="s">
        <v>12</v>
      </c>
      <c r="O142" s="9" t="s">
        <v>13</v>
      </c>
      <c r="P142" s="9" t="s">
        <v>4</v>
      </c>
      <c r="R142" s="236"/>
      <c r="S142" s="232"/>
      <c r="T142" s="230"/>
      <c r="U142" s="232"/>
      <c r="V142" s="230"/>
      <c r="W142" s="232"/>
      <c r="X142" s="230"/>
      <c r="Y142" s="232"/>
      <c r="Z142" s="230"/>
      <c r="AA142" s="232"/>
      <c r="AB142" s="232"/>
      <c r="AC142" s="234"/>
      <c r="AD142" s="26">
        <f>VLOOKUP(AC143,R143:AB144,5,0)</f>
        <v>28.009803921568629</v>
      </c>
      <c r="AE142" s="27">
        <f>VLOOKUP(AC143,R143:AB144,7,0)</f>
        <v>22.515015015015013</v>
      </c>
      <c r="AF142" s="28">
        <f>VLOOKUP(AC143,R143:AB144,9,0)</f>
        <v>17.882378176495827</v>
      </c>
      <c r="AG142" s="29">
        <f>VLOOKUP(AC143,R143:AB144,11,0)</f>
        <v>375.18762459938932</v>
      </c>
    </row>
    <row r="143" spans="1:33" ht="12.75" customHeight="1">
      <c r="A143" s="27" t="s">
        <v>0</v>
      </c>
      <c r="B143" s="27" t="s">
        <v>1</v>
      </c>
      <c r="C143" s="27" t="s">
        <v>2</v>
      </c>
      <c r="D143" s="139" t="s">
        <v>3</v>
      </c>
      <c r="E143" s="140" t="s">
        <v>4</v>
      </c>
      <c r="F143" s="141" t="s">
        <v>194</v>
      </c>
      <c r="G143" s="142" t="s">
        <v>95</v>
      </c>
      <c r="H143" s="142"/>
      <c r="I143" s="142"/>
      <c r="J143" s="142"/>
      <c r="K143" s="142"/>
      <c r="L143" s="143"/>
      <c r="M143" s="21">
        <f>F142/30*7+H142/30*7</f>
        <v>28.009803921568629</v>
      </c>
      <c r="N143" s="21">
        <f>G142/30*15+H142/30*15+I142/30*5</f>
        <v>22.515015015015013</v>
      </c>
      <c r="O143" s="21">
        <f>F142/30*5+G142/30*0.5</f>
        <v>17.882378176495827</v>
      </c>
      <c r="P143" s="21">
        <f>F142/30*75+G142/30*60+H142/30*60+I142/30*25+J142/30*25</f>
        <v>375.18762459938932</v>
      </c>
      <c r="R143" s="241" t="str">
        <f>A142</f>
        <v>کوفته تبریزی</v>
      </c>
      <c r="S143" s="238" t="s">
        <v>1</v>
      </c>
      <c r="T143" s="237">
        <f>B142</f>
        <v>150</v>
      </c>
      <c r="U143" s="238" t="s">
        <v>23</v>
      </c>
      <c r="V143" s="237">
        <f t="shared" si="211"/>
        <v>28.009803921568629</v>
      </c>
      <c r="W143" s="238" t="s">
        <v>24</v>
      </c>
      <c r="X143" s="237">
        <f t="shared" ref="X143" si="269">N143</f>
        <v>22.515015015015013</v>
      </c>
      <c r="Y143" s="238" t="s">
        <v>13</v>
      </c>
      <c r="Z143" s="237">
        <f t="shared" si="163"/>
        <v>17.882378176495827</v>
      </c>
      <c r="AA143" s="238" t="s">
        <v>4</v>
      </c>
      <c r="AB143" s="238">
        <f t="shared" ref="AB143" si="270">P143</f>
        <v>375.18762459938932</v>
      </c>
      <c r="AC143" s="239" t="str">
        <f>R143</f>
        <v>کوفته تبریزی</v>
      </c>
      <c r="AD143" s="26" t="s">
        <v>11</v>
      </c>
      <c r="AE143" s="27" t="s">
        <v>12</v>
      </c>
      <c r="AF143" s="28" t="s">
        <v>13</v>
      </c>
      <c r="AG143" s="29" t="s">
        <v>4</v>
      </c>
    </row>
    <row r="144" spans="1:33" ht="12.75" customHeight="1">
      <c r="A144" s="27" t="s">
        <v>217</v>
      </c>
      <c r="B144" s="27">
        <v>200</v>
      </c>
      <c r="C144" s="27" t="s">
        <v>86</v>
      </c>
      <c r="D144" s="139">
        <f>B144/20</f>
        <v>10</v>
      </c>
      <c r="E144" s="140">
        <f>B144/1.666</f>
        <v>120.04801920768308</v>
      </c>
      <c r="F144" s="141">
        <f>B144/2.5</f>
        <v>80</v>
      </c>
      <c r="G144" s="142">
        <f>B144/1.666</f>
        <v>120.04801920768308</v>
      </c>
      <c r="H144" s="142"/>
      <c r="I144" s="142"/>
      <c r="J144" s="142"/>
      <c r="K144" s="142"/>
      <c r="L144" s="143"/>
      <c r="M144" s="9" t="s">
        <v>11</v>
      </c>
      <c r="N144" s="9" t="s">
        <v>12</v>
      </c>
      <c r="O144" s="9" t="s">
        <v>13</v>
      </c>
      <c r="P144" s="9" t="s">
        <v>4</v>
      </c>
      <c r="R144" s="236"/>
      <c r="S144" s="232"/>
      <c r="T144" s="230"/>
      <c r="U144" s="232"/>
      <c r="V144" s="230"/>
      <c r="W144" s="232"/>
      <c r="X144" s="230"/>
      <c r="Y144" s="232"/>
      <c r="Z144" s="230"/>
      <c r="AA144" s="232"/>
      <c r="AB144" s="232"/>
      <c r="AC144" s="234"/>
      <c r="AD144" s="26">
        <f>VLOOKUP(AC145,R145:AB146,5,0)</f>
        <v>33.34613845538216</v>
      </c>
      <c r="AE144" s="27">
        <f>VLOOKUP(AC145,R145:AB146,7,0)</f>
        <v>61.352541016406562</v>
      </c>
      <c r="AF144" s="28">
        <f>VLOOKUP(AC145,R145:AB146,9,0)</f>
        <v>10.004001600640258</v>
      </c>
      <c r="AG144" s="29">
        <f>VLOOKUP(AC145,R145:AB146,11,0)</f>
        <v>286.75470188075235</v>
      </c>
    </row>
    <row r="145" spans="1:33" ht="12.75" customHeight="1">
      <c r="A145" s="27" t="s">
        <v>0</v>
      </c>
      <c r="B145" s="27" t="s">
        <v>1</v>
      </c>
      <c r="C145" s="27" t="s">
        <v>2</v>
      </c>
      <c r="D145" s="139" t="s">
        <v>3</v>
      </c>
      <c r="E145" s="140" t="s">
        <v>4</v>
      </c>
      <c r="F145" s="141" t="s">
        <v>160</v>
      </c>
      <c r="G145" s="142" t="s">
        <v>95</v>
      </c>
      <c r="H145" s="142"/>
      <c r="I145" s="142"/>
      <c r="J145" s="142"/>
      <c r="K145" s="142"/>
      <c r="L145" s="143"/>
      <c r="M145" s="21">
        <f>F144/30*0.5+G144/30*8</f>
        <v>33.34613845538216</v>
      </c>
      <c r="N145" s="21">
        <f>G144/30*12+F144/30*5</f>
        <v>61.352541016406562</v>
      </c>
      <c r="O145" s="21">
        <f>G144/30*2.5</f>
        <v>10.004001600640258</v>
      </c>
      <c r="P145" s="21">
        <f>F144/30*25+G144/30*55</f>
        <v>286.75470188075235</v>
      </c>
      <c r="R145" s="241" t="str">
        <f>A144</f>
        <v>برانی اسفناج</v>
      </c>
      <c r="S145" s="238" t="s">
        <v>1</v>
      </c>
      <c r="T145" s="237">
        <f>B144</f>
        <v>200</v>
      </c>
      <c r="U145" s="238" t="s">
        <v>23</v>
      </c>
      <c r="V145" s="237">
        <f t="shared" si="215"/>
        <v>33.34613845538216</v>
      </c>
      <c r="W145" s="238" t="s">
        <v>24</v>
      </c>
      <c r="X145" s="237">
        <f t="shared" ref="X145" si="271">N145</f>
        <v>61.352541016406562</v>
      </c>
      <c r="Y145" s="238" t="s">
        <v>13</v>
      </c>
      <c r="Z145" s="237">
        <f t="shared" si="167"/>
        <v>10.004001600640258</v>
      </c>
      <c r="AA145" s="238" t="s">
        <v>4</v>
      </c>
      <c r="AB145" s="238">
        <f t="shared" ref="AB145" si="272">P145</f>
        <v>286.75470188075235</v>
      </c>
      <c r="AC145" s="239" t="str">
        <f>R145</f>
        <v>برانی اسفناج</v>
      </c>
      <c r="AD145" s="26" t="s">
        <v>11</v>
      </c>
      <c r="AE145" s="27" t="s">
        <v>12</v>
      </c>
      <c r="AF145" s="28" t="s">
        <v>13</v>
      </c>
      <c r="AG145" s="29" t="s">
        <v>4</v>
      </c>
    </row>
    <row r="146" spans="1:33" ht="12.75" customHeight="1">
      <c r="A146" s="27" t="s">
        <v>218</v>
      </c>
      <c r="B146" s="27">
        <v>200</v>
      </c>
      <c r="C146" s="27" t="s">
        <v>22</v>
      </c>
      <c r="D146" s="139">
        <f>B146/20</f>
        <v>10</v>
      </c>
      <c r="E146" s="140">
        <f>P147</f>
        <v>286.66754667018665</v>
      </c>
      <c r="F146" s="141">
        <f>B146/2.5</f>
        <v>80</v>
      </c>
      <c r="G146" s="142">
        <f>B146/1.66666</f>
        <v>120.00048000192001</v>
      </c>
      <c r="H146" s="142"/>
      <c r="I146" s="142"/>
      <c r="J146" s="142"/>
      <c r="K146" s="142"/>
      <c r="L146" s="143"/>
      <c r="M146" s="9" t="s">
        <v>11</v>
      </c>
      <c r="N146" s="9" t="s">
        <v>12</v>
      </c>
      <c r="O146" s="9" t="s">
        <v>13</v>
      </c>
      <c r="P146" s="9" t="s">
        <v>4</v>
      </c>
      <c r="R146" s="236"/>
      <c r="S146" s="232"/>
      <c r="T146" s="230"/>
      <c r="U146" s="232"/>
      <c r="V146" s="230"/>
      <c r="W146" s="232"/>
      <c r="X146" s="230"/>
      <c r="Y146" s="232"/>
      <c r="Z146" s="230"/>
      <c r="AA146" s="232"/>
      <c r="AB146" s="232"/>
      <c r="AC146" s="234"/>
      <c r="AD146" s="26">
        <f>VLOOKUP(AC147,R147:AB148,5,0)</f>
        <v>33.333461333845335</v>
      </c>
      <c r="AE146" s="27">
        <f>VLOOKUP(AC147,R147:AB148,7,0)</f>
        <v>61.333525334101324</v>
      </c>
      <c r="AF146" s="28">
        <f>VLOOKUP(AC147,R147:AB148,9,0)</f>
        <v>10.00004000016</v>
      </c>
      <c r="AG146" s="29">
        <f>VLOOKUP(AC147,R147:AB148,11,0)</f>
        <v>286.66754667018665</v>
      </c>
    </row>
    <row r="147" spans="1:33" ht="12.75" customHeight="1">
      <c r="A147" s="27" t="s">
        <v>0</v>
      </c>
      <c r="B147" s="27" t="s">
        <v>1</v>
      </c>
      <c r="C147" s="27" t="s">
        <v>2</v>
      </c>
      <c r="D147" s="139" t="s">
        <v>3</v>
      </c>
      <c r="E147" s="140" t="s">
        <v>4</v>
      </c>
      <c r="F147" s="141" t="s">
        <v>194</v>
      </c>
      <c r="G147" s="142" t="s">
        <v>51</v>
      </c>
      <c r="H147" s="142" t="s">
        <v>37</v>
      </c>
      <c r="I147" s="142"/>
      <c r="J147" s="142"/>
      <c r="K147" s="142"/>
      <c r="L147" s="143"/>
      <c r="M147" s="21">
        <f>F146/30*0.5+G146/30*8</f>
        <v>33.333461333845335</v>
      </c>
      <c r="N147" s="21">
        <f>G146/30*12+F146/30*5</f>
        <v>61.333525334101324</v>
      </c>
      <c r="O147" s="21">
        <f>G146/30*2.5</f>
        <v>10.00004000016</v>
      </c>
      <c r="P147" s="21">
        <f>G146/30*55+F146/30*25</f>
        <v>286.66754667018665</v>
      </c>
      <c r="R147" s="241" t="str">
        <f>A146</f>
        <v>برانی کنگر</v>
      </c>
      <c r="S147" s="238" t="s">
        <v>1</v>
      </c>
      <c r="T147" s="237">
        <f>B146</f>
        <v>200</v>
      </c>
      <c r="U147" s="238" t="s">
        <v>23</v>
      </c>
      <c r="V147" s="237">
        <f t="shared" ref="V147" si="273">M147</f>
        <v>33.333461333845335</v>
      </c>
      <c r="W147" s="238" t="s">
        <v>24</v>
      </c>
      <c r="X147" s="237">
        <f t="shared" ref="X147" si="274">N147</f>
        <v>61.333525334101324</v>
      </c>
      <c r="Y147" s="238" t="s">
        <v>13</v>
      </c>
      <c r="Z147" s="237">
        <f t="shared" si="171"/>
        <v>10.00004000016</v>
      </c>
      <c r="AA147" s="238" t="s">
        <v>4</v>
      </c>
      <c r="AB147" s="238">
        <f t="shared" ref="AB147" si="275">P147</f>
        <v>286.66754667018665</v>
      </c>
      <c r="AC147" s="239" t="str">
        <f>R147</f>
        <v>برانی کنگر</v>
      </c>
      <c r="AD147" s="26" t="s">
        <v>11</v>
      </c>
      <c r="AE147" s="27" t="s">
        <v>12</v>
      </c>
      <c r="AF147" s="28" t="s">
        <v>13</v>
      </c>
      <c r="AG147" s="29" t="s">
        <v>4</v>
      </c>
    </row>
    <row r="148" spans="1:33" ht="12.75" customHeight="1">
      <c r="A148" s="27" t="s">
        <v>219</v>
      </c>
      <c r="B148" s="27">
        <v>100</v>
      </c>
      <c r="C148" s="27" t="s">
        <v>22</v>
      </c>
      <c r="D148" s="139">
        <f>B148/20</f>
        <v>5</v>
      </c>
      <c r="E148" s="140">
        <f>P149</f>
        <v>116.72388847505853</v>
      </c>
      <c r="F148" s="141">
        <f>B148/1.5384</f>
        <v>65.002600104004159</v>
      </c>
      <c r="G148" s="142">
        <f>B148/20</f>
        <v>5</v>
      </c>
      <c r="H148" s="142">
        <f>B148/3.33</f>
        <v>30.03003003003003</v>
      </c>
      <c r="I148" s="142"/>
      <c r="J148" s="142"/>
      <c r="K148" s="142"/>
      <c r="L148" s="143"/>
      <c r="M148" s="9" t="s">
        <v>11</v>
      </c>
      <c r="N148" s="9" t="s">
        <v>12</v>
      </c>
      <c r="O148" s="9" t="s">
        <v>13</v>
      </c>
      <c r="P148" s="9" t="s">
        <v>4</v>
      </c>
      <c r="R148" s="236"/>
      <c r="S148" s="232"/>
      <c r="T148" s="230"/>
      <c r="U148" s="232"/>
      <c r="V148" s="230"/>
      <c r="W148" s="232"/>
      <c r="X148" s="230"/>
      <c r="Y148" s="232"/>
      <c r="Z148" s="230"/>
      <c r="AA148" s="232"/>
      <c r="AB148" s="232"/>
      <c r="AC148" s="234"/>
      <c r="AD148" s="26">
        <f>VLOOKUP(AC149,R149:AB150,5,0)</f>
        <v>8.090383675407077</v>
      </c>
      <c r="AE148" s="27">
        <f>VLOOKUP(AC149,R149:AB150,7,0)</f>
        <v>10.833766684000693</v>
      </c>
      <c r="AF148" s="28">
        <f>VLOOKUP(AC149,R149:AB150,9,0)</f>
        <v>0.83333333333333326</v>
      </c>
      <c r="AG148" s="29">
        <f>VLOOKUP(AC149,R149:AB150,11,0)</f>
        <v>116.72388847505853</v>
      </c>
    </row>
    <row r="149" spans="1:33" ht="12.75" customHeight="1">
      <c r="A149" s="144" t="s">
        <v>0</v>
      </c>
      <c r="B149" s="144" t="s">
        <v>1</v>
      </c>
      <c r="C149" s="144" t="s">
        <v>2</v>
      </c>
      <c r="D149" s="145" t="s">
        <v>3</v>
      </c>
      <c r="E149" s="146" t="s">
        <v>4</v>
      </c>
      <c r="F149" s="147" t="s">
        <v>220</v>
      </c>
      <c r="G149" s="148" t="s">
        <v>6</v>
      </c>
      <c r="H149" s="148" t="s">
        <v>113</v>
      </c>
      <c r="I149" s="148" t="s">
        <v>104</v>
      </c>
      <c r="J149" s="148"/>
      <c r="K149" s="148"/>
      <c r="L149" s="149"/>
      <c r="M149" s="21">
        <f>F148/30*0.5+H148/30*7</f>
        <v>8.090383675407077</v>
      </c>
      <c r="N149" s="21">
        <f>F148/30*5</f>
        <v>10.833766684000693</v>
      </c>
      <c r="O149" s="21">
        <f>G148/30*5</f>
        <v>0.83333333333333326</v>
      </c>
      <c r="P149" s="21">
        <f>H148/30*55+G148/30*45+F148/30*25</f>
        <v>116.72388847505853</v>
      </c>
      <c r="R149" s="241" t="str">
        <f>A148</f>
        <v>نرگسی اسفناج</v>
      </c>
      <c r="S149" s="238" t="s">
        <v>1</v>
      </c>
      <c r="T149" s="237">
        <f>B148</f>
        <v>100</v>
      </c>
      <c r="U149" s="238" t="s">
        <v>23</v>
      </c>
      <c r="V149" s="237">
        <f t="shared" si="187"/>
        <v>8.090383675407077</v>
      </c>
      <c r="W149" s="238" t="s">
        <v>24</v>
      </c>
      <c r="X149" s="237">
        <f t="shared" ref="X149" si="276">N149</f>
        <v>10.833766684000693</v>
      </c>
      <c r="Y149" s="238" t="s">
        <v>13</v>
      </c>
      <c r="Z149" s="237">
        <f t="shared" si="175"/>
        <v>0.83333333333333326</v>
      </c>
      <c r="AA149" s="238" t="s">
        <v>4</v>
      </c>
      <c r="AB149" s="238">
        <f t="shared" ref="AB149" si="277">P149</f>
        <v>116.72388847505853</v>
      </c>
      <c r="AC149" s="239" t="str">
        <f>R149</f>
        <v>نرگسی اسفناج</v>
      </c>
      <c r="AD149" s="26" t="s">
        <v>11</v>
      </c>
      <c r="AE149" s="27" t="s">
        <v>12</v>
      </c>
      <c r="AF149" s="28" t="s">
        <v>13</v>
      </c>
      <c r="AG149" s="29" t="s">
        <v>4</v>
      </c>
    </row>
    <row r="150" spans="1:33" ht="12.75" customHeight="1">
      <c r="A150" s="144" t="s">
        <v>221</v>
      </c>
      <c r="B150" s="144">
        <v>100</v>
      </c>
      <c r="C150" s="144" t="s">
        <v>89</v>
      </c>
      <c r="D150" s="145">
        <f>B150</f>
        <v>100</v>
      </c>
      <c r="E150" s="146">
        <f>P151</f>
        <v>250.91341341341342</v>
      </c>
      <c r="F150" s="147">
        <f>B150/1.25</f>
        <v>80</v>
      </c>
      <c r="G150" s="148">
        <f>B150/4</f>
        <v>25</v>
      </c>
      <c r="H150" s="148">
        <f>B150/20</f>
        <v>5</v>
      </c>
      <c r="I150" s="148">
        <f>B150/3.33</f>
        <v>30.03003003003003</v>
      </c>
      <c r="J150" s="148"/>
      <c r="K150" s="148"/>
      <c r="L150" s="149"/>
      <c r="M150" s="9" t="s">
        <v>11</v>
      </c>
      <c r="N150" s="9" t="s">
        <v>12</v>
      </c>
      <c r="O150" s="9" t="s">
        <v>13</v>
      </c>
      <c r="P150" s="9" t="s">
        <v>4</v>
      </c>
      <c r="R150" s="236"/>
      <c r="S150" s="232"/>
      <c r="T150" s="230"/>
      <c r="U150" s="232"/>
      <c r="V150" s="230"/>
      <c r="W150" s="232"/>
      <c r="X150" s="230"/>
      <c r="Y150" s="232"/>
      <c r="Z150" s="230"/>
      <c r="AA150" s="232"/>
      <c r="AB150" s="232"/>
      <c r="AC150" s="234"/>
      <c r="AD150" s="26">
        <f>VLOOKUP(AC151,R151:AB152,5,0)</f>
        <v>26.674674674674673</v>
      </c>
      <c r="AE150" s="27">
        <f>VLOOKUP(AC151,R151:AB152,7,0)</f>
        <v>27.012012012012015</v>
      </c>
      <c r="AF150" s="28">
        <f>VLOOKUP(AC151,R151:AB152,9,0)</f>
        <v>15.835835835835834</v>
      </c>
      <c r="AG150" s="29">
        <f>VLOOKUP(AC151,R151:AB152,11,0)</f>
        <v>250.91341341341342</v>
      </c>
    </row>
    <row r="151" spans="1:33" ht="12.75" customHeight="1">
      <c r="A151" s="144" t="s">
        <v>0</v>
      </c>
      <c r="B151" s="144" t="s">
        <v>1</v>
      </c>
      <c r="C151" s="144" t="s">
        <v>2</v>
      </c>
      <c r="D151" s="145" t="s">
        <v>3</v>
      </c>
      <c r="E151" s="146" t="s">
        <v>4</v>
      </c>
      <c r="F151" s="147" t="s">
        <v>54</v>
      </c>
      <c r="G151" s="148" t="s">
        <v>162</v>
      </c>
      <c r="H151" s="148" t="s">
        <v>9</v>
      </c>
      <c r="I151" s="148" t="s">
        <v>51</v>
      </c>
      <c r="J151" s="148"/>
      <c r="K151" s="148"/>
      <c r="L151" s="149"/>
      <c r="M151" s="21">
        <f>F150/30*7+I150/30*8</f>
        <v>26.674674674674673</v>
      </c>
      <c r="N151" s="21">
        <f>G150/30*15+H150/30*15+I150/30*12</f>
        <v>27.012012012012015</v>
      </c>
      <c r="O151" s="21">
        <f>F150/30*5+I150/30*2.5</f>
        <v>15.835835835835834</v>
      </c>
      <c r="P151" s="21">
        <f>F150/30*55+G150/30*25+H150/30*20+I150/30*80</f>
        <v>250.91341341341342</v>
      </c>
      <c r="R151" s="241" t="str">
        <f>A150</f>
        <v>بیف استرگانف</v>
      </c>
      <c r="S151" s="238" t="s">
        <v>1</v>
      </c>
      <c r="T151" s="237">
        <f>B150</f>
        <v>100</v>
      </c>
      <c r="U151" s="238" t="s">
        <v>23</v>
      </c>
      <c r="V151" s="237">
        <f t="shared" si="192"/>
        <v>26.674674674674673</v>
      </c>
      <c r="W151" s="238" t="s">
        <v>24</v>
      </c>
      <c r="X151" s="237">
        <f t="shared" ref="X151" si="278">N151</f>
        <v>27.012012012012015</v>
      </c>
      <c r="Y151" s="238" t="s">
        <v>13</v>
      </c>
      <c r="Z151" s="237">
        <f t="shared" si="179"/>
        <v>15.835835835835834</v>
      </c>
      <c r="AA151" s="238" t="s">
        <v>4</v>
      </c>
      <c r="AB151" s="238">
        <f t="shared" ref="AB151" si="279">P151</f>
        <v>250.91341341341342</v>
      </c>
      <c r="AC151" s="239" t="str">
        <f>R151</f>
        <v>بیف استرگانف</v>
      </c>
      <c r="AD151" s="26" t="s">
        <v>11</v>
      </c>
      <c r="AE151" s="27" t="s">
        <v>12</v>
      </c>
      <c r="AF151" s="28" t="s">
        <v>13</v>
      </c>
      <c r="AG151" s="29" t="s">
        <v>4</v>
      </c>
    </row>
    <row r="152" spans="1:33" ht="12.75" customHeight="1">
      <c r="A152" s="144" t="s">
        <v>222</v>
      </c>
      <c r="B152" s="144">
        <v>100</v>
      </c>
      <c r="C152" s="144" t="s">
        <v>89</v>
      </c>
      <c r="D152" s="145">
        <f t="shared" ref="D152" si="280">B152</f>
        <v>100</v>
      </c>
      <c r="E152" s="146">
        <f>P153</f>
        <v>128.38838838838839</v>
      </c>
      <c r="F152" s="147">
        <f>B152/3.33</f>
        <v>30.03003003003003</v>
      </c>
      <c r="G152" s="148">
        <f>B152/2</f>
        <v>50</v>
      </c>
      <c r="H152" s="148">
        <f>B152/5</f>
        <v>20</v>
      </c>
      <c r="I152" s="148">
        <v>10</v>
      </c>
      <c r="J152" s="148"/>
      <c r="K152" s="148"/>
      <c r="L152" s="149"/>
      <c r="M152" s="9" t="s">
        <v>11</v>
      </c>
      <c r="N152" s="9" t="s">
        <v>12</v>
      </c>
      <c r="O152" s="9" t="s">
        <v>13</v>
      </c>
      <c r="P152" s="9" t="s">
        <v>4</v>
      </c>
      <c r="R152" s="236"/>
      <c r="S152" s="232"/>
      <c r="T152" s="230"/>
      <c r="U152" s="232"/>
      <c r="V152" s="230"/>
      <c r="W152" s="232"/>
      <c r="X152" s="230"/>
      <c r="Y152" s="232"/>
      <c r="Z152" s="230"/>
      <c r="AA152" s="232"/>
      <c r="AB152" s="232"/>
      <c r="AC152" s="234"/>
      <c r="AD152" s="26">
        <f>VLOOKUP(AC153,R153:AB154,5,0)</f>
        <v>8.0080080080080087</v>
      </c>
      <c r="AE152" s="27">
        <f>VLOOKUP(AC153,R153:AB154,7,0)</f>
        <v>11.666666666666668</v>
      </c>
      <c r="AF152" s="28">
        <f>VLOOKUP(AC153,R153:AB154,9,0)</f>
        <v>1.6666666666666665</v>
      </c>
      <c r="AG152" s="29">
        <f>VLOOKUP(AC153,R153:AB154,11,0)</f>
        <v>128.38838838838839</v>
      </c>
    </row>
    <row r="153" spans="1:33" ht="12.75" customHeight="1">
      <c r="A153" s="144" t="s">
        <v>0</v>
      </c>
      <c r="B153" s="144" t="s">
        <v>1</v>
      </c>
      <c r="C153" s="144" t="s">
        <v>2</v>
      </c>
      <c r="D153" s="145" t="s">
        <v>3</v>
      </c>
      <c r="E153" s="146" t="s">
        <v>4</v>
      </c>
      <c r="F153" s="147" t="s">
        <v>5</v>
      </c>
      <c r="G153" s="148" t="s">
        <v>162</v>
      </c>
      <c r="H153" s="148" t="s">
        <v>74</v>
      </c>
      <c r="I153" s="148" t="s">
        <v>10</v>
      </c>
      <c r="J153" s="148" t="s">
        <v>73</v>
      </c>
      <c r="K153" s="148"/>
      <c r="L153" s="149"/>
      <c r="M153" s="21">
        <f>F152/30*8</f>
        <v>8.0080080080080087</v>
      </c>
      <c r="N153" s="21">
        <f>G152/30*5+H152/30*5</f>
        <v>11.666666666666668</v>
      </c>
      <c r="O153" s="21">
        <f>I152/30*5</f>
        <v>1.6666666666666665</v>
      </c>
      <c r="P153" s="21">
        <f>I152/30*45+H152/30*25+G152/30*25+F152/30*55</f>
        <v>128.38838838838839</v>
      </c>
      <c r="R153" s="241" t="str">
        <f>A152</f>
        <v>خوراک گوشت بادمجان</v>
      </c>
      <c r="S153" s="238" t="s">
        <v>1</v>
      </c>
      <c r="T153" s="237">
        <f>B152</f>
        <v>100</v>
      </c>
      <c r="U153" s="238" t="s">
        <v>23</v>
      </c>
      <c r="V153" s="237">
        <f t="shared" si="196"/>
        <v>8.0080080080080087</v>
      </c>
      <c r="W153" s="238" t="s">
        <v>24</v>
      </c>
      <c r="X153" s="237">
        <f t="shared" ref="X153" si="281">N153</f>
        <v>11.666666666666668</v>
      </c>
      <c r="Y153" s="238" t="s">
        <v>13</v>
      </c>
      <c r="Z153" s="237">
        <f t="shared" si="184"/>
        <v>1.6666666666666665</v>
      </c>
      <c r="AA153" s="238" t="s">
        <v>4</v>
      </c>
      <c r="AB153" s="238">
        <f t="shared" ref="AB153" si="282">P153</f>
        <v>128.38838838838839</v>
      </c>
      <c r="AC153" s="239" t="str">
        <f>R153</f>
        <v>خوراک گوشت بادمجان</v>
      </c>
      <c r="AD153" s="26" t="s">
        <v>11</v>
      </c>
      <c r="AE153" s="27" t="s">
        <v>12</v>
      </c>
      <c r="AF153" s="28" t="s">
        <v>13</v>
      </c>
      <c r="AG153" s="29" t="s">
        <v>4</v>
      </c>
    </row>
    <row r="154" spans="1:33" ht="12.75" customHeight="1">
      <c r="A154" s="144" t="s">
        <v>223</v>
      </c>
      <c r="B154" s="144">
        <v>100</v>
      </c>
      <c r="C154" s="144" t="s">
        <v>89</v>
      </c>
      <c r="D154" s="145">
        <f t="shared" ref="D154" si="283">B154</f>
        <v>100</v>
      </c>
      <c r="E154" s="146">
        <f>P155</f>
        <v>161.66666666666669</v>
      </c>
      <c r="F154" s="147">
        <f>B154/4</f>
        <v>25</v>
      </c>
      <c r="G154" s="148">
        <f>B154/2</f>
        <v>50</v>
      </c>
      <c r="H154" s="148">
        <f>B154/8</f>
        <v>12.5</v>
      </c>
      <c r="I154" s="148">
        <f>B154/4</f>
        <v>25</v>
      </c>
      <c r="J154" s="148">
        <f>B154/10</f>
        <v>10</v>
      </c>
      <c r="K154" s="148"/>
      <c r="L154" s="149"/>
      <c r="M154" s="9" t="s">
        <v>11</v>
      </c>
      <c r="N154" s="9" t="s">
        <v>12</v>
      </c>
      <c r="O154" s="9" t="s">
        <v>13</v>
      </c>
      <c r="P154" s="9" t="s">
        <v>4</v>
      </c>
      <c r="R154" s="236"/>
      <c r="S154" s="232"/>
      <c r="T154" s="230"/>
      <c r="U154" s="232"/>
      <c r="V154" s="230"/>
      <c r="W154" s="232"/>
      <c r="X154" s="230"/>
      <c r="Y154" s="232"/>
      <c r="Z154" s="230"/>
      <c r="AA154" s="232"/>
      <c r="AB154" s="232"/>
      <c r="AC154" s="234"/>
      <c r="AD154" s="26">
        <f>VLOOKUP(AC155,R155:AB156,5,0)</f>
        <v>11.833333333333334</v>
      </c>
      <c r="AE154" s="27">
        <f>VLOOKUP(AC155,R155:AB156,7,0)</f>
        <v>22.5</v>
      </c>
      <c r="AF154" s="28">
        <f>VLOOKUP(AC155,R155:AB156,9,0)</f>
        <v>5.2083333333333339</v>
      </c>
      <c r="AG154" s="29">
        <f>VLOOKUP(AC155,R155:AB156,11,0)</f>
        <v>161.66666666666669</v>
      </c>
    </row>
    <row r="155" spans="1:33" ht="12.75" customHeight="1">
      <c r="A155" s="144" t="s">
        <v>0</v>
      </c>
      <c r="B155" s="144" t="s">
        <v>1</v>
      </c>
      <c r="C155" s="144" t="s">
        <v>2</v>
      </c>
      <c r="D155" s="145" t="s">
        <v>3</v>
      </c>
      <c r="E155" s="146" t="s">
        <v>4</v>
      </c>
      <c r="F155" s="147" t="s">
        <v>5</v>
      </c>
      <c r="G155" s="148" t="s">
        <v>224</v>
      </c>
      <c r="H155" s="148" t="s">
        <v>225</v>
      </c>
      <c r="I155" s="148" t="s">
        <v>176</v>
      </c>
      <c r="J155" s="148" t="s">
        <v>51</v>
      </c>
      <c r="K155" s="148"/>
      <c r="L155" s="149"/>
      <c r="M155" s="9">
        <f>F154/30*7+H154/30*8+J154/30*8</f>
        <v>11.833333333333334</v>
      </c>
      <c r="N155" s="9">
        <f>J154/30*15+I154/30*5+H154/30*12+G154/30*5</f>
        <v>22.5</v>
      </c>
      <c r="O155" s="9">
        <f>H154/30*2.5+F154/30*5</f>
        <v>5.2083333333333339</v>
      </c>
      <c r="P155" s="9">
        <f>J154/30*60+I154/30*25+H154/30*80+G154/30*25+F154/30*55</f>
        <v>161.66666666666669</v>
      </c>
      <c r="R155" s="241" t="str">
        <f>A154</f>
        <v>حلیم بادمجان</v>
      </c>
      <c r="S155" s="238" t="s">
        <v>1</v>
      </c>
      <c r="T155" s="237">
        <f>B154</f>
        <v>100</v>
      </c>
      <c r="U155" s="238" t="s">
        <v>23</v>
      </c>
      <c r="V155" s="237">
        <f t="shared" si="200"/>
        <v>11.833333333333334</v>
      </c>
      <c r="W155" s="238" t="s">
        <v>24</v>
      </c>
      <c r="X155" s="237">
        <f t="shared" ref="X155" si="284">N155</f>
        <v>22.5</v>
      </c>
      <c r="Y155" s="238" t="s">
        <v>13</v>
      </c>
      <c r="Z155" s="237">
        <f t="shared" si="189"/>
        <v>5.2083333333333339</v>
      </c>
      <c r="AA155" s="238" t="s">
        <v>4</v>
      </c>
      <c r="AB155" s="238">
        <f t="shared" ref="AB155" si="285">P155</f>
        <v>161.66666666666669</v>
      </c>
      <c r="AC155" s="239" t="str">
        <f>R155</f>
        <v>حلیم بادمجان</v>
      </c>
      <c r="AD155" s="26" t="s">
        <v>11</v>
      </c>
      <c r="AE155" s="27" t="s">
        <v>12</v>
      </c>
      <c r="AF155" s="28" t="s">
        <v>13</v>
      </c>
      <c r="AG155" s="29" t="s">
        <v>4</v>
      </c>
    </row>
    <row r="156" spans="1:33" ht="12.75" customHeight="1">
      <c r="A156" s="144" t="s">
        <v>226</v>
      </c>
      <c r="B156" s="144">
        <v>100</v>
      </c>
      <c r="C156" s="144" t="s">
        <v>89</v>
      </c>
      <c r="D156" s="145">
        <f t="shared" ref="D156" si="286">B156</f>
        <v>100</v>
      </c>
      <c r="E156" s="146">
        <f>P157</f>
        <v>135.47441741924169</v>
      </c>
      <c r="F156" s="147">
        <f>B156/3.333</f>
        <v>30.003000300030003</v>
      </c>
      <c r="G156" s="148">
        <f>B156/3.3333</f>
        <v>30.000300003000032</v>
      </c>
      <c r="H156" s="148">
        <f>B156/5</f>
        <v>20</v>
      </c>
      <c r="I156" s="148">
        <f>B156/20</f>
        <v>5</v>
      </c>
      <c r="J156" s="148">
        <v>10</v>
      </c>
      <c r="K156" s="148"/>
      <c r="L156" s="149"/>
      <c r="M156" s="9" t="s">
        <v>11</v>
      </c>
      <c r="N156" s="9" t="s">
        <v>12</v>
      </c>
      <c r="O156" s="9" t="s">
        <v>13</v>
      </c>
      <c r="P156" s="9" t="s">
        <v>4</v>
      </c>
      <c r="R156" s="236"/>
      <c r="S156" s="232"/>
      <c r="T156" s="230"/>
      <c r="U156" s="232"/>
      <c r="V156" s="230"/>
      <c r="W156" s="232"/>
      <c r="X156" s="230"/>
      <c r="Y156" s="232"/>
      <c r="Z156" s="230"/>
      <c r="AA156" s="232"/>
      <c r="AB156" s="232"/>
      <c r="AC156" s="234"/>
      <c r="AD156" s="26">
        <f>VLOOKUP(AC157,R157:AB158,5,0)</f>
        <v>7.3340334033403334</v>
      </c>
      <c r="AE156" s="27">
        <f>VLOOKUP(AC157,R157:AB158,7,0)</f>
        <v>9.1667166671666731</v>
      </c>
      <c r="AF156" s="28">
        <f>VLOOKUP(AC157,R157:AB158,9,0)</f>
        <v>6.6671667166716659</v>
      </c>
      <c r="AG156" s="29">
        <f>VLOOKUP(AC157,R157:AB158,11,0)</f>
        <v>135.47441741924169</v>
      </c>
    </row>
    <row r="157" spans="1:33" ht="12.75" customHeight="1">
      <c r="A157" s="144" t="s">
        <v>0</v>
      </c>
      <c r="B157" s="144" t="s">
        <v>1</v>
      </c>
      <c r="C157" s="144" t="s">
        <v>2</v>
      </c>
      <c r="D157" s="145" t="s">
        <v>3</v>
      </c>
      <c r="E157" s="146" t="s">
        <v>4</v>
      </c>
      <c r="F157" s="147" t="s">
        <v>225</v>
      </c>
      <c r="G157" s="148" t="s">
        <v>37</v>
      </c>
      <c r="H157" s="148" t="s">
        <v>51</v>
      </c>
      <c r="I157" s="148"/>
      <c r="J157" s="148"/>
      <c r="K157" s="148"/>
      <c r="L157" s="149"/>
      <c r="M157" s="21">
        <f>F156/30*7+H156/30*0.5</f>
        <v>7.3340334033403334</v>
      </c>
      <c r="N157" s="21">
        <f>G156/30*5+H156/30*5+I156/30*5</f>
        <v>9.1667166671666731</v>
      </c>
      <c r="O157" s="21">
        <f>F156/30*5+J156/30*5</f>
        <v>6.6671667166716659</v>
      </c>
      <c r="P157" s="21">
        <f>J156/30*45+I156/100*76+H156/30*25+G156/30*25+F156/30*75</f>
        <v>135.47441741924169</v>
      </c>
      <c r="R157" s="241" t="str">
        <f>A156</f>
        <v>خوراک بادمجان و قارچ</v>
      </c>
      <c r="S157" s="238" t="s">
        <v>1</v>
      </c>
      <c r="T157" s="237">
        <f>B156</f>
        <v>100</v>
      </c>
      <c r="U157" s="238" t="s">
        <v>23</v>
      </c>
      <c r="V157" s="237">
        <f t="shared" si="203"/>
        <v>7.3340334033403334</v>
      </c>
      <c r="W157" s="238" t="s">
        <v>24</v>
      </c>
      <c r="X157" s="237">
        <f t="shared" ref="X157" si="287">N157</f>
        <v>9.1667166671666731</v>
      </c>
      <c r="Y157" s="238" t="s">
        <v>13</v>
      </c>
      <c r="Z157" s="237">
        <f t="shared" ref="Z157:Z223" si="288">O157</f>
        <v>6.6671667166716659</v>
      </c>
      <c r="AA157" s="238" t="s">
        <v>4</v>
      </c>
      <c r="AB157" s="238">
        <f t="shared" ref="AB157" si="289">P157</f>
        <v>135.47441741924169</v>
      </c>
      <c r="AC157" s="239" t="str">
        <f>R157</f>
        <v>خوراک بادمجان و قارچ</v>
      </c>
      <c r="AD157" s="26" t="s">
        <v>11</v>
      </c>
      <c r="AE157" s="27" t="s">
        <v>12</v>
      </c>
      <c r="AF157" s="28" t="s">
        <v>13</v>
      </c>
      <c r="AG157" s="29" t="s">
        <v>4</v>
      </c>
    </row>
    <row r="158" spans="1:33" ht="12.75" customHeight="1">
      <c r="A158" s="144" t="s">
        <v>227</v>
      </c>
      <c r="B158" s="144">
        <v>100</v>
      </c>
      <c r="C158" s="144" t="s">
        <v>89</v>
      </c>
      <c r="D158" s="145">
        <f t="shared" ref="D158" si="290">B158</f>
        <v>100</v>
      </c>
      <c r="E158" s="146">
        <f>P159</f>
        <v>165.0401606425703</v>
      </c>
      <c r="F158" s="147">
        <f>B158/2</f>
        <v>50</v>
      </c>
      <c r="G158" s="148">
        <f>B158/1.66</f>
        <v>60.24096385542169</v>
      </c>
      <c r="H158" s="148">
        <f>B158/5</f>
        <v>20</v>
      </c>
      <c r="I158" s="148"/>
      <c r="J158" s="148"/>
      <c r="K158" s="148"/>
      <c r="L158" s="149"/>
      <c r="M158" s="9" t="s">
        <v>11</v>
      </c>
      <c r="N158" s="9" t="s">
        <v>12</v>
      </c>
      <c r="O158" s="9" t="s">
        <v>13</v>
      </c>
      <c r="P158" s="9" t="s">
        <v>4</v>
      </c>
      <c r="R158" s="236"/>
      <c r="S158" s="232"/>
      <c r="T158" s="230"/>
      <c r="U158" s="232"/>
      <c r="V158" s="230"/>
      <c r="W158" s="232"/>
      <c r="X158" s="230"/>
      <c r="Y158" s="232"/>
      <c r="Z158" s="230"/>
      <c r="AA158" s="232"/>
      <c r="AB158" s="232"/>
      <c r="AC158" s="234"/>
      <c r="AD158" s="26">
        <f>VLOOKUP(AC159,R159:AB160,5,0)</f>
        <v>14.056224899598394</v>
      </c>
      <c r="AE158" s="27">
        <f>VLOOKUP(AC159,R159:AB160,7,0)</f>
        <v>8.3333333333333339</v>
      </c>
      <c r="AF158" s="28">
        <f>VLOOKUP(AC159,R159:AB160,9,0)</f>
        <v>3.333333333333333</v>
      </c>
      <c r="AG158" s="29">
        <f>VLOOKUP(AC159,R159:AB160,11,0)</f>
        <v>165.0401606425703</v>
      </c>
    </row>
    <row r="159" spans="1:33" ht="12.75" customHeight="1">
      <c r="A159" s="144" t="s">
        <v>0</v>
      </c>
      <c r="B159" s="144" t="s">
        <v>1</v>
      </c>
      <c r="C159" s="144" t="s">
        <v>2</v>
      </c>
      <c r="D159" s="145" t="s">
        <v>3</v>
      </c>
      <c r="E159" s="146" t="s">
        <v>4</v>
      </c>
      <c r="F159" s="147" t="s">
        <v>228</v>
      </c>
      <c r="G159" s="148" t="s">
        <v>37</v>
      </c>
      <c r="H159" s="148" t="s">
        <v>51</v>
      </c>
      <c r="I159" s="148"/>
      <c r="J159" s="148"/>
      <c r="K159" s="148"/>
      <c r="L159" s="149"/>
      <c r="M159" s="21">
        <f>G158/30*7</f>
        <v>14.056224899598394</v>
      </c>
      <c r="N159" s="21">
        <f>F158/30*5</f>
        <v>8.3333333333333339</v>
      </c>
      <c r="O159" s="21">
        <f>H158/30*5</f>
        <v>3.333333333333333</v>
      </c>
      <c r="P159" s="21">
        <f>H158/30*45+G158/100*155+F158/30*25</f>
        <v>165.0401606425703</v>
      </c>
      <c r="R159" s="241" t="str">
        <f>A158</f>
        <v>املت قارچ</v>
      </c>
      <c r="S159" s="238" t="s">
        <v>1</v>
      </c>
      <c r="T159" s="237">
        <f>B158</f>
        <v>100</v>
      </c>
      <c r="U159" s="238" t="s">
        <v>23</v>
      </c>
      <c r="V159" s="237">
        <f t="shared" si="207"/>
        <v>14.056224899598394</v>
      </c>
      <c r="W159" s="238" t="s">
        <v>24</v>
      </c>
      <c r="X159" s="237">
        <f t="shared" ref="X159" si="291">N159</f>
        <v>8.3333333333333339</v>
      </c>
      <c r="Y159" s="238" t="s">
        <v>13</v>
      </c>
      <c r="Z159" s="237">
        <f t="shared" ref="Z159:Z225" si="292">O159</f>
        <v>3.333333333333333</v>
      </c>
      <c r="AA159" s="238" t="s">
        <v>4</v>
      </c>
      <c r="AB159" s="238">
        <f t="shared" ref="AB159" si="293">P159</f>
        <v>165.0401606425703</v>
      </c>
      <c r="AC159" s="239" t="str">
        <f>R159</f>
        <v>املت قارچ</v>
      </c>
      <c r="AD159" s="26" t="s">
        <v>11</v>
      </c>
      <c r="AE159" s="27" t="s">
        <v>12</v>
      </c>
      <c r="AF159" s="28" t="s">
        <v>13</v>
      </c>
      <c r="AG159" s="29" t="s">
        <v>4</v>
      </c>
    </row>
    <row r="160" spans="1:33" ht="12.75" customHeight="1">
      <c r="A160" s="144" t="s">
        <v>229</v>
      </c>
      <c r="B160" s="144">
        <v>100</v>
      </c>
      <c r="C160" s="144" t="s">
        <v>89</v>
      </c>
      <c r="D160" s="145">
        <f t="shared" ref="D160" si="294">B160</f>
        <v>100</v>
      </c>
      <c r="E160" s="146">
        <f>P161</f>
        <v>175.64257028112451</v>
      </c>
      <c r="F160" s="147">
        <f>B160/1.66</f>
        <v>60.24096385542169</v>
      </c>
      <c r="G160" s="148">
        <f>B160/1.66</f>
        <v>60.24096385542169</v>
      </c>
      <c r="H160" s="148">
        <f>10</f>
        <v>10</v>
      </c>
      <c r="I160" s="148"/>
      <c r="J160" s="148"/>
      <c r="K160" s="148"/>
      <c r="L160" s="149"/>
      <c r="M160" s="9" t="s">
        <v>11</v>
      </c>
      <c r="N160" s="9" t="s">
        <v>12</v>
      </c>
      <c r="O160" s="9" t="s">
        <v>13</v>
      </c>
      <c r="P160" s="9" t="s">
        <v>4</v>
      </c>
      <c r="R160" s="236"/>
      <c r="S160" s="232"/>
      <c r="T160" s="230"/>
      <c r="U160" s="232"/>
      <c r="V160" s="230"/>
      <c r="W160" s="232"/>
      <c r="X160" s="230"/>
      <c r="Y160" s="232"/>
      <c r="Z160" s="230"/>
      <c r="AA160" s="232"/>
      <c r="AB160" s="232"/>
      <c r="AC160" s="234"/>
      <c r="AD160" s="26">
        <f>VLOOKUP(AC161,R161:AB162,5,0)</f>
        <v>18.072289156626507</v>
      </c>
      <c r="AE160" s="27">
        <f>VLOOKUP(AC161,R161:AB162,7,0)</f>
        <v>10.040160642570282</v>
      </c>
      <c r="AF160" s="28">
        <f>VLOOKUP(AC161,R161:AB162,9,0)</f>
        <v>1.6666666666666665</v>
      </c>
      <c r="AG160" s="29">
        <f>VLOOKUP(AC161,R161:AB162,11,0)</f>
        <v>175.64257028112451</v>
      </c>
    </row>
    <row r="161" spans="1:33" ht="12.75" customHeight="1">
      <c r="A161" s="144" t="s">
        <v>0</v>
      </c>
      <c r="B161" s="144" t="s">
        <v>1</v>
      </c>
      <c r="C161" s="144" t="s">
        <v>2</v>
      </c>
      <c r="D161" s="145" t="s">
        <v>3</v>
      </c>
      <c r="E161" s="146" t="s">
        <v>4</v>
      </c>
      <c r="F161" s="147" t="s">
        <v>230</v>
      </c>
      <c r="G161" s="148" t="s">
        <v>10</v>
      </c>
      <c r="H161" s="148" t="s">
        <v>176</v>
      </c>
      <c r="I161" s="148" t="s">
        <v>51</v>
      </c>
      <c r="J161" s="148"/>
      <c r="K161" s="148"/>
      <c r="L161" s="149"/>
      <c r="M161" s="21">
        <f>F160/30/0.5+G160/30*7</f>
        <v>18.072289156626507</v>
      </c>
      <c r="N161" s="21">
        <f>F160/30*5</f>
        <v>10.040160642570282</v>
      </c>
      <c r="O161" s="21">
        <f>H160/30*5</f>
        <v>1.6666666666666665</v>
      </c>
      <c r="P161" s="21">
        <f>H160/30*45+G160/30*55+F160/30*25</f>
        <v>175.64257028112451</v>
      </c>
      <c r="R161" s="241" t="str">
        <f>A160</f>
        <v>املت گوجه فرنگی</v>
      </c>
      <c r="S161" s="238" t="s">
        <v>1</v>
      </c>
      <c r="T161" s="237">
        <f>B160</f>
        <v>100</v>
      </c>
      <c r="U161" s="238" t="s">
        <v>23</v>
      </c>
      <c r="V161" s="237">
        <f t="shared" si="211"/>
        <v>18.072289156626507</v>
      </c>
      <c r="W161" s="238" t="s">
        <v>24</v>
      </c>
      <c r="X161" s="237">
        <f t="shared" ref="X161" si="295">N161</f>
        <v>10.040160642570282</v>
      </c>
      <c r="Y161" s="238" t="s">
        <v>13</v>
      </c>
      <c r="Z161" s="237">
        <f t="shared" ref="Z161:Z227" si="296">O161</f>
        <v>1.6666666666666665</v>
      </c>
      <c r="AA161" s="238" t="s">
        <v>4</v>
      </c>
      <c r="AB161" s="238">
        <f t="shared" ref="AB161" si="297">P161</f>
        <v>175.64257028112451</v>
      </c>
      <c r="AC161" s="239" t="str">
        <f>R161</f>
        <v>املت گوجه فرنگی</v>
      </c>
      <c r="AD161" s="26" t="s">
        <v>11</v>
      </c>
      <c r="AE161" s="27" t="s">
        <v>12</v>
      </c>
      <c r="AF161" s="28" t="s">
        <v>13</v>
      </c>
      <c r="AG161" s="29" t="s">
        <v>4</v>
      </c>
    </row>
    <row r="162" spans="1:33" ht="12.75" customHeight="1">
      <c r="A162" s="144" t="s">
        <v>231</v>
      </c>
      <c r="B162" s="144">
        <v>100</v>
      </c>
      <c r="C162" s="144" t="s">
        <v>89</v>
      </c>
      <c r="D162" s="145">
        <f t="shared" ref="D162" si="298">B162</f>
        <v>100</v>
      </c>
      <c r="E162" s="146">
        <f>P163</f>
        <v>176.38044671177204</v>
      </c>
      <c r="F162" s="147">
        <f>B162/1.66</f>
        <v>60.24096385542169</v>
      </c>
      <c r="G162" s="148">
        <f>B162/3.33</f>
        <v>30.03003003003003</v>
      </c>
      <c r="H162" s="148">
        <v>10</v>
      </c>
      <c r="I162" s="148">
        <v>20</v>
      </c>
      <c r="J162" s="148"/>
      <c r="K162" s="148"/>
      <c r="L162" s="149"/>
      <c r="M162" s="9" t="s">
        <v>11</v>
      </c>
      <c r="N162" s="9" t="s">
        <v>12</v>
      </c>
      <c r="O162" s="9" t="s">
        <v>13</v>
      </c>
      <c r="P162" s="9" t="s">
        <v>4</v>
      </c>
      <c r="R162" s="236"/>
      <c r="S162" s="232"/>
      <c r="T162" s="230"/>
      <c r="U162" s="232"/>
      <c r="V162" s="230"/>
      <c r="W162" s="232"/>
      <c r="X162" s="230"/>
      <c r="Y162" s="232"/>
      <c r="Z162" s="230"/>
      <c r="AA162" s="232"/>
      <c r="AB162" s="232"/>
      <c r="AC162" s="234"/>
      <c r="AD162" s="26">
        <f>VLOOKUP(AC163,R163:AB164,5,0)</f>
        <v>6.6265060240963862</v>
      </c>
      <c r="AE162" s="27">
        <f>VLOOKUP(AC163,R163:AB164,7,0)</f>
        <v>7.8764909487801056</v>
      </c>
      <c r="AF162" s="28">
        <f>VLOOKUP(AC163,R163:AB164,9,0)</f>
        <v>10.562248995983936</v>
      </c>
      <c r="AG162" s="29">
        <f>VLOOKUP(AC163,R163:AB164,11,0)</f>
        <v>176.38044671177204</v>
      </c>
    </row>
    <row r="163" spans="1:33" ht="12.75" customHeight="1">
      <c r="A163" s="144" t="s">
        <v>0</v>
      </c>
      <c r="B163" s="144" t="s">
        <v>1</v>
      </c>
      <c r="C163" s="144" t="s">
        <v>2</v>
      </c>
      <c r="D163" s="145" t="s">
        <v>3</v>
      </c>
      <c r="E163" s="146" t="s">
        <v>4</v>
      </c>
      <c r="F163" s="147" t="s">
        <v>224</v>
      </c>
      <c r="G163" s="148" t="s">
        <v>74</v>
      </c>
      <c r="H163" s="148" t="s">
        <v>10</v>
      </c>
      <c r="I163" s="148" t="s">
        <v>51</v>
      </c>
      <c r="J163" s="148"/>
      <c r="K163" s="148"/>
      <c r="L163" s="149"/>
      <c r="M163" s="21">
        <f>F162/100*11</f>
        <v>6.6265060240963862</v>
      </c>
      <c r="N163" s="21">
        <f>F162/100*2+G162/30*5+H162/30*5</f>
        <v>7.8764909487801056</v>
      </c>
      <c r="O163" s="21">
        <f>F162/100*12+I162/30*5</f>
        <v>10.562248995983936</v>
      </c>
      <c r="P163" s="21">
        <f>I162/30*45+H162/100*75+G162/30*25+F162/100*189</f>
        <v>176.38044671177204</v>
      </c>
      <c r="R163" s="241" t="str">
        <f>A162</f>
        <v>سوسیس بندری</v>
      </c>
      <c r="S163" s="238" t="s">
        <v>1</v>
      </c>
      <c r="T163" s="237">
        <f>B162</f>
        <v>100</v>
      </c>
      <c r="U163" s="238" t="s">
        <v>23</v>
      </c>
      <c r="V163" s="237">
        <f t="shared" si="215"/>
        <v>6.6265060240963862</v>
      </c>
      <c r="W163" s="238" t="s">
        <v>24</v>
      </c>
      <c r="X163" s="237">
        <f t="shared" ref="X163" si="299">N163</f>
        <v>7.8764909487801056</v>
      </c>
      <c r="Y163" s="238" t="s">
        <v>13</v>
      </c>
      <c r="Z163" s="237">
        <f t="shared" ref="Z163:Z207" si="300">O163</f>
        <v>10.562248995983936</v>
      </c>
      <c r="AA163" s="238" t="s">
        <v>4</v>
      </c>
      <c r="AB163" s="238">
        <f t="shared" ref="AB163" si="301">P163</f>
        <v>176.38044671177204</v>
      </c>
      <c r="AC163" s="239" t="str">
        <f>R163</f>
        <v>سوسیس بندری</v>
      </c>
      <c r="AD163" s="26" t="s">
        <v>11</v>
      </c>
      <c r="AE163" s="27" t="s">
        <v>12</v>
      </c>
      <c r="AF163" s="28" t="s">
        <v>13</v>
      </c>
      <c r="AG163" s="29" t="s">
        <v>4</v>
      </c>
    </row>
    <row r="164" spans="1:33" ht="12.75" customHeight="1">
      <c r="A164" s="144" t="s">
        <v>232</v>
      </c>
      <c r="B164" s="144">
        <v>100</v>
      </c>
      <c r="C164" s="144" t="s">
        <v>89</v>
      </c>
      <c r="D164" s="145">
        <f t="shared" ref="D164" si="302">B164</f>
        <v>100</v>
      </c>
      <c r="E164" s="146">
        <f>P165</f>
        <v>170.30590831795652</v>
      </c>
      <c r="F164" s="147">
        <f>B164/1.66</f>
        <v>60.24096385542169</v>
      </c>
      <c r="G164" s="148">
        <f>B164/3.33</f>
        <v>30.03003003003003</v>
      </c>
      <c r="H164" s="148">
        <f>B164/3.33</f>
        <v>30.03003003003003</v>
      </c>
      <c r="I164" s="148">
        <f>B164/10</f>
        <v>10</v>
      </c>
      <c r="J164" s="148"/>
      <c r="K164" s="148"/>
      <c r="L164" s="149"/>
      <c r="M164" s="9" t="s">
        <v>11</v>
      </c>
      <c r="N164" s="9" t="s">
        <v>12</v>
      </c>
      <c r="O164" s="9" t="s">
        <v>13</v>
      </c>
      <c r="P164" s="9" t="s">
        <v>4</v>
      </c>
      <c r="R164" s="236"/>
      <c r="S164" s="232"/>
      <c r="T164" s="230"/>
      <c r="U164" s="232"/>
      <c r="V164" s="230"/>
      <c r="W164" s="232"/>
      <c r="X164" s="230"/>
      <c r="Y164" s="232"/>
      <c r="Z164" s="230"/>
      <c r="AA164" s="232"/>
      <c r="AB164" s="232"/>
      <c r="AC164" s="234"/>
      <c r="AD164" s="26">
        <f>VLOOKUP(AC165,R165:AB166,5,0)</f>
        <v>9.0120240722650369</v>
      </c>
      <c r="AE164" s="27">
        <f>VLOOKUP(AC165,R165:AB166,7,0)</f>
        <v>27.0571776595873</v>
      </c>
      <c r="AF164" s="28">
        <f>VLOOKUP(AC165,R165:AB166,9,0)</f>
        <v>4.1691691691691695</v>
      </c>
      <c r="AG164" s="29">
        <f>VLOOKUP(AC165,R165:AB166,11,0)</f>
        <v>170.30590831795652</v>
      </c>
    </row>
    <row r="165" spans="1:33" ht="12.75" customHeight="1">
      <c r="A165" s="144" t="s">
        <v>0</v>
      </c>
      <c r="B165" s="144" t="s">
        <v>1</v>
      </c>
      <c r="C165" s="144" t="s">
        <v>2</v>
      </c>
      <c r="D165" s="145" t="s">
        <v>3</v>
      </c>
      <c r="E165" s="146" t="s">
        <v>4</v>
      </c>
      <c r="F165" s="147" t="s">
        <v>233</v>
      </c>
      <c r="G165" s="148" t="s">
        <v>54</v>
      </c>
      <c r="H165" s="148" t="s">
        <v>234</v>
      </c>
      <c r="I165" s="148" t="s">
        <v>235</v>
      </c>
      <c r="J165" s="148" t="s">
        <v>51</v>
      </c>
      <c r="K165" s="148"/>
      <c r="L165" s="149"/>
      <c r="M165" s="21">
        <f>F164/30*0.5+G164/30*8</f>
        <v>9.0120240722650369</v>
      </c>
      <c r="N165" s="21">
        <f>H164/30*5+G164/30*12+F164/30*5</f>
        <v>27.0571776595873</v>
      </c>
      <c r="O165" s="21">
        <f>I164/30*5+G164/30*2.5</f>
        <v>4.1691691691691695</v>
      </c>
      <c r="P165" s="21">
        <f>I164/30*45+H164/30*25+G164/30*80+F164/30*25</f>
        <v>170.30590831795652</v>
      </c>
      <c r="R165" s="241" t="str">
        <f>A164</f>
        <v>کشک بادمجان</v>
      </c>
      <c r="S165" s="238" t="s">
        <v>1</v>
      </c>
      <c r="T165" s="237">
        <f>B164</f>
        <v>100</v>
      </c>
      <c r="U165" s="238" t="s">
        <v>23</v>
      </c>
      <c r="V165" s="237">
        <f t="shared" ref="V165" si="303">M165</f>
        <v>9.0120240722650369</v>
      </c>
      <c r="W165" s="238" t="s">
        <v>24</v>
      </c>
      <c r="X165" s="237">
        <f t="shared" ref="X165" si="304">N165</f>
        <v>27.0571776595873</v>
      </c>
      <c r="Y165" s="238" t="s">
        <v>13</v>
      </c>
      <c r="Z165" s="237">
        <f t="shared" ref="Z165:Z209" si="305">O165</f>
        <v>4.1691691691691695</v>
      </c>
      <c r="AA165" s="238" t="s">
        <v>4</v>
      </c>
      <c r="AB165" s="238">
        <f t="shared" ref="AB165" si="306">P165</f>
        <v>170.30590831795652</v>
      </c>
      <c r="AC165" s="239" t="str">
        <f>R165</f>
        <v>کشک بادمجان</v>
      </c>
      <c r="AD165" s="26" t="s">
        <v>11</v>
      </c>
      <c r="AE165" s="27" t="s">
        <v>12</v>
      </c>
      <c r="AF165" s="28" t="s">
        <v>13</v>
      </c>
      <c r="AG165" s="29" t="s">
        <v>4</v>
      </c>
    </row>
    <row r="166" spans="1:33" ht="12.75" customHeight="1">
      <c r="A166" s="144" t="s">
        <v>236</v>
      </c>
      <c r="B166" s="144">
        <v>100</v>
      </c>
      <c r="C166" s="144" t="s">
        <v>89</v>
      </c>
      <c r="D166" s="145">
        <f t="shared" ref="D166" si="307">B166</f>
        <v>100</v>
      </c>
      <c r="E166" s="146">
        <f>P167</f>
        <v>180.83333333333331</v>
      </c>
      <c r="F166" s="147">
        <f>B166/4</f>
        <v>25</v>
      </c>
      <c r="G166" s="148">
        <f>B166/4</f>
        <v>25</v>
      </c>
      <c r="H166" s="148">
        <f>B166/5</f>
        <v>20</v>
      </c>
      <c r="I166" s="148">
        <f>B166/10</f>
        <v>10</v>
      </c>
      <c r="J166" s="148">
        <v>20</v>
      </c>
      <c r="K166" s="148"/>
      <c r="L166" s="149"/>
      <c r="M166" s="9" t="s">
        <v>11</v>
      </c>
      <c r="N166" s="9" t="s">
        <v>12</v>
      </c>
      <c r="O166" s="9" t="s">
        <v>13</v>
      </c>
      <c r="P166" s="9" t="s">
        <v>4</v>
      </c>
      <c r="R166" s="236"/>
      <c r="S166" s="232"/>
      <c r="T166" s="230"/>
      <c r="U166" s="232"/>
      <c r="V166" s="230"/>
      <c r="W166" s="232"/>
      <c r="X166" s="230"/>
      <c r="Y166" s="232"/>
      <c r="Z166" s="230"/>
      <c r="AA166" s="232"/>
      <c r="AB166" s="232"/>
      <c r="AC166" s="234"/>
      <c r="AD166" s="26">
        <f>VLOOKUP(AC167,R167:AB168,5,0)</f>
        <v>8.2333333333333343</v>
      </c>
      <c r="AE166" s="27">
        <f>VLOOKUP(AC167,R167:AB168,7,0)</f>
        <v>14.766666666666666</v>
      </c>
      <c r="AF166" s="28">
        <f>VLOOKUP(AC167,R167:AB168,9,0)</f>
        <v>11.899999999999999</v>
      </c>
      <c r="AG166" s="29">
        <f>VLOOKUP(AC167,R167:AB168,11,0)</f>
        <v>180.83333333333331</v>
      </c>
    </row>
    <row r="167" spans="1:33" ht="12.75" customHeight="1">
      <c r="A167" s="144" t="s">
        <v>0</v>
      </c>
      <c r="B167" s="144" t="s">
        <v>1</v>
      </c>
      <c r="C167" s="144" t="s">
        <v>2</v>
      </c>
      <c r="D167" s="145" t="s">
        <v>3</v>
      </c>
      <c r="E167" s="146" t="s">
        <v>4</v>
      </c>
      <c r="F167" s="147" t="s">
        <v>237</v>
      </c>
      <c r="G167" s="148" t="s">
        <v>238</v>
      </c>
      <c r="H167" s="148" t="s">
        <v>225</v>
      </c>
      <c r="I167" s="148" t="s">
        <v>32</v>
      </c>
      <c r="J167" s="148" t="s">
        <v>51</v>
      </c>
      <c r="K167" s="148"/>
      <c r="L167" s="149"/>
      <c r="M167" s="21">
        <f>G166/30*7+H166/100*12</f>
        <v>8.2333333333333343</v>
      </c>
      <c r="N167" s="21">
        <f>F166/30*15+I166/30*5+H166/100*3</f>
        <v>14.766666666666666</v>
      </c>
      <c r="O167" s="21">
        <f>H166/100*22+G166/30*5+J166/30*5</f>
        <v>11.899999999999999</v>
      </c>
      <c r="P167" s="21">
        <f>I166/30*25+H166/100*275+G166/30*75+F166/100*100+J166/30*45</f>
        <v>180.83333333333331</v>
      </c>
      <c r="R167" s="241" t="str">
        <f>A166</f>
        <v>لازانیا گوشت و سبزیجات</v>
      </c>
      <c r="S167" s="238" t="s">
        <v>1</v>
      </c>
      <c r="T167" s="237">
        <f>B166</f>
        <v>100</v>
      </c>
      <c r="U167" s="238" t="s">
        <v>23</v>
      </c>
      <c r="V167" s="237">
        <f t="shared" ref="V167:V203" si="308">M167</f>
        <v>8.2333333333333343</v>
      </c>
      <c r="W167" s="238" t="s">
        <v>24</v>
      </c>
      <c r="X167" s="237">
        <f t="shared" ref="X167" si="309">N167</f>
        <v>14.766666666666666</v>
      </c>
      <c r="Y167" s="238" t="s">
        <v>13</v>
      </c>
      <c r="Z167" s="237">
        <f t="shared" ref="Z167:Z211" si="310">O167</f>
        <v>11.899999999999999</v>
      </c>
      <c r="AA167" s="238" t="s">
        <v>4</v>
      </c>
      <c r="AB167" s="238">
        <f t="shared" ref="AB167" si="311">P167</f>
        <v>180.83333333333331</v>
      </c>
      <c r="AC167" s="239" t="str">
        <f>R167</f>
        <v>لازانیا گوشت و سبزیجات</v>
      </c>
      <c r="AD167" s="26" t="s">
        <v>11</v>
      </c>
      <c r="AE167" s="27" t="s">
        <v>12</v>
      </c>
      <c r="AF167" s="28" t="s">
        <v>13</v>
      </c>
      <c r="AG167" s="29" t="s">
        <v>4</v>
      </c>
    </row>
    <row r="168" spans="1:33" ht="12.75" customHeight="1">
      <c r="A168" s="144" t="s">
        <v>239</v>
      </c>
      <c r="B168" s="144">
        <v>100</v>
      </c>
      <c r="C168" s="144" t="s">
        <v>89</v>
      </c>
      <c r="D168" s="145">
        <f t="shared" ref="D168" si="312">B168</f>
        <v>100</v>
      </c>
      <c r="E168" s="146">
        <f>P169</f>
        <v>191.82682682682685</v>
      </c>
      <c r="F168" s="147">
        <f>B168/3.33</f>
        <v>30.03003003003003</v>
      </c>
      <c r="G168" s="148">
        <f>B168/3.33</f>
        <v>30.03003003003003</v>
      </c>
      <c r="H168" s="148">
        <f>B168/5</f>
        <v>20</v>
      </c>
      <c r="I168" s="148">
        <f>B168/3.33</f>
        <v>30.03003003003003</v>
      </c>
      <c r="J168" s="148">
        <f>B168/10</f>
        <v>10</v>
      </c>
      <c r="K168" s="148"/>
      <c r="L168" s="149"/>
      <c r="M168" s="9" t="s">
        <v>11</v>
      </c>
      <c r="N168" s="9" t="s">
        <v>12</v>
      </c>
      <c r="O168" s="9" t="s">
        <v>13</v>
      </c>
      <c r="P168" s="9" t="s">
        <v>4</v>
      </c>
      <c r="R168" s="236"/>
      <c r="S168" s="232"/>
      <c r="T168" s="230"/>
      <c r="U168" s="232"/>
      <c r="V168" s="230"/>
      <c r="W168" s="232"/>
      <c r="X168" s="230"/>
      <c r="Y168" s="232"/>
      <c r="Z168" s="230"/>
      <c r="AA168" s="232"/>
      <c r="AB168" s="232"/>
      <c r="AC168" s="234"/>
      <c r="AD168" s="26">
        <f>VLOOKUP(AC169,R169:AB170,5,0)</f>
        <v>7.3403403403403411</v>
      </c>
      <c r="AE168" s="27">
        <f>VLOOKUP(AC169,R169:AB170,7,0)</f>
        <v>23.353353353353356</v>
      </c>
      <c r="AF168" s="28">
        <f>VLOOKUP(AC169,R169:AB170,9,0)</f>
        <v>6.6716716716716711</v>
      </c>
      <c r="AG168" s="29">
        <f>VLOOKUP(AC169,R169:AB170,11,0)</f>
        <v>191.82682682682685</v>
      </c>
    </row>
    <row r="169" spans="1:33" ht="12.75" customHeight="1">
      <c r="A169" s="144" t="s">
        <v>0</v>
      </c>
      <c r="B169" s="144" t="s">
        <v>1</v>
      </c>
      <c r="C169" s="144" t="s">
        <v>2</v>
      </c>
      <c r="D169" s="145" t="s">
        <v>3</v>
      </c>
      <c r="E169" s="146" t="s">
        <v>4</v>
      </c>
      <c r="F169" s="147" t="s">
        <v>237</v>
      </c>
      <c r="G169" s="148" t="s">
        <v>240</v>
      </c>
      <c r="H169" s="148" t="s">
        <v>32</v>
      </c>
      <c r="I169" s="148" t="s">
        <v>51</v>
      </c>
      <c r="J169" s="148"/>
      <c r="K169" s="148"/>
      <c r="L169" s="149"/>
      <c r="M169" s="21">
        <f>G168/30*7+H168/30*0.5</f>
        <v>7.3403403403403411</v>
      </c>
      <c r="N169" s="21">
        <f>F168/30*15+H168/30*5+I168/30*5</f>
        <v>23.353353353353356</v>
      </c>
      <c r="O169" s="21">
        <f>G168/30*5+J168/30*5</f>
        <v>6.6716716716716711</v>
      </c>
      <c r="P169" s="21">
        <f>F168/30*60+G168/30*75+H168/30*25+I168/30*25+J168/30*45</f>
        <v>191.82682682682685</v>
      </c>
      <c r="R169" s="241" t="str">
        <f>A168</f>
        <v>ماکارونی و گوشت چرخ کرده</v>
      </c>
      <c r="S169" s="238" t="s">
        <v>1</v>
      </c>
      <c r="T169" s="237">
        <f>B168</f>
        <v>100</v>
      </c>
      <c r="U169" s="238" t="s">
        <v>23</v>
      </c>
      <c r="V169" s="237">
        <f t="shared" ref="V169:V205" si="313">M169</f>
        <v>7.3403403403403411</v>
      </c>
      <c r="W169" s="238" t="s">
        <v>24</v>
      </c>
      <c r="X169" s="237">
        <f t="shared" ref="X169" si="314">N169</f>
        <v>23.353353353353356</v>
      </c>
      <c r="Y169" s="238" t="s">
        <v>13</v>
      </c>
      <c r="Z169" s="237">
        <f t="shared" ref="Z169:Z219" si="315">O169</f>
        <v>6.6716716716716711</v>
      </c>
      <c r="AA169" s="238" t="s">
        <v>4</v>
      </c>
      <c r="AB169" s="238">
        <f t="shared" ref="AB169" si="316">P169</f>
        <v>191.82682682682685</v>
      </c>
      <c r="AC169" s="239" t="str">
        <f>R169</f>
        <v>ماکارونی و گوشت چرخ کرده</v>
      </c>
      <c r="AD169" s="26" t="s">
        <v>11</v>
      </c>
      <c r="AE169" s="27" t="s">
        <v>12</v>
      </c>
      <c r="AF169" s="28" t="s">
        <v>13</v>
      </c>
      <c r="AG169" s="29" t="s">
        <v>4</v>
      </c>
    </row>
    <row r="170" spans="1:33" ht="12.75" customHeight="1">
      <c r="A170" s="144" t="s">
        <v>241</v>
      </c>
      <c r="B170" s="144">
        <v>100</v>
      </c>
      <c r="C170" s="144" t="s">
        <v>89</v>
      </c>
      <c r="D170" s="145">
        <f t="shared" ref="D170" si="317">B170</f>
        <v>100</v>
      </c>
      <c r="E170" s="146">
        <f>P171</f>
        <v>170.14014014014015</v>
      </c>
      <c r="F170" s="147">
        <f>B170/3.33</f>
        <v>30.03003003003003</v>
      </c>
      <c r="G170" s="148">
        <f>B170/3.33</f>
        <v>30.03003003003003</v>
      </c>
      <c r="H170" s="148">
        <f>B170/3.33</f>
        <v>30.03003003003003</v>
      </c>
      <c r="I170" s="148">
        <v>20</v>
      </c>
      <c r="J170" s="148"/>
      <c r="K170" s="148"/>
      <c r="L170" s="149"/>
      <c r="M170" s="9" t="s">
        <v>11</v>
      </c>
      <c r="N170" s="9" t="s">
        <v>12</v>
      </c>
      <c r="O170" s="9" t="s">
        <v>13</v>
      </c>
      <c r="P170" s="9" t="s">
        <v>4</v>
      </c>
      <c r="R170" s="236"/>
      <c r="S170" s="232"/>
      <c r="T170" s="230"/>
      <c r="U170" s="232"/>
      <c r="V170" s="230"/>
      <c r="W170" s="232"/>
      <c r="X170" s="230"/>
      <c r="Y170" s="232"/>
      <c r="Z170" s="230"/>
      <c r="AA170" s="232"/>
      <c r="AB170" s="232"/>
      <c r="AC170" s="234"/>
      <c r="AD170" s="26">
        <f>VLOOKUP(AC171,R171:AB172,5,0)</f>
        <v>6.0060060060060056</v>
      </c>
      <c r="AE170" s="27">
        <f>VLOOKUP(AC171,R171:AB172,7,0)</f>
        <v>20.02002002002002</v>
      </c>
      <c r="AF170" s="28">
        <f>VLOOKUP(AC171,R171:AB172,9,0)</f>
        <v>3.333333333333333</v>
      </c>
      <c r="AG170" s="29">
        <f>VLOOKUP(AC171,R171:AB172,11,0)</f>
        <v>170.14014014014015</v>
      </c>
    </row>
    <row r="171" spans="1:33" ht="12.75" customHeight="1">
      <c r="A171" s="144" t="s">
        <v>0</v>
      </c>
      <c r="B171" s="144" t="s">
        <v>1</v>
      </c>
      <c r="C171" s="144" t="s">
        <v>2</v>
      </c>
      <c r="D171" s="145" t="s">
        <v>3</v>
      </c>
      <c r="E171" s="146" t="s">
        <v>4</v>
      </c>
      <c r="F171" s="147" t="s">
        <v>237</v>
      </c>
      <c r="G171" s="148" t="s">
        <v>32</v>
      </c>
      <c r="H171" s="148" t="s">
        <v>95</v>
      </c>
      <c r="I171" s="148"/>
      <c r="J171" s="148"/>
      <c r="K171" s="148"/>
      <c r="L171" s="149"/>
      <c r="M171" s="21">
        <f>G170/30*5+H170/30*1</f>
        <v>6.0060060060060056</v>
      </c>
      <c r="N171" s="21">
        <f>H170/30*5+F170/30*15</f>
        <v>20.02002002002002</v>
      </c>
      <c r="O171" s="21">
        <f>I170/30*5</f>
        <v>3.333333333333333</v>
      </c>
      <c r="P171" s="21">
        <f>I170/30*45+H170/30*25+G170/30*55+F170/30*60</f>
        <v>170.14014014014015</v>
      </c>
      <c r="R171" s="241" t="str">
        <f>A170</f>
        <v>ماکارونی و سویا</v>
      </c>
      <c r="S171" s="238" t="s">
        <v>1</v>
      </c>
      <c r="T171" s="237">
        <f>B170</f>
        <v>100</v>
      </c>
      <c r="U171" s="238" t="s">
        <v>23</v>
      </c>
      <c r="V171" s="237">
        <f t="shared" ref="V171:V207" si="318">M171</f>
        <v>6.0060060060060056</v>
      </c>
      <c r="W171" s="238" t="s">
        <v>24</v>
      </c>
      <c r="X171" s="237">
        <f t="shared" ref="X171" si="319">N171</f>
        <v>20.02002002002002</v>
      </c>
      <c r="Y171" s="238" t="s">
        <v>13</v>
      </c>
      <c r="Z171" s="237">
        <f t="shared" si="221"/>
        <v>3.333333333333333</v>
      </c>
      <c r="AA171" s="238" t="s">
        <v>4</v>
      </c>
      <c r="AB171" s="238">
        <f t="shared" ref="AB171" si="320">P171</f>
        <v>170.14014014014015</v>
      </c>
      <c r="AC171" s="239" t="str">
        <f>R171</f>
        <v>ماکارونی و سویا</v>
      </c>
      <c r="AD171" s="26" t="s">
        <v>11</v>
      </c>
      <c r="AE171" s="27" t="s">
        <v>12</v>
      </c>
      <c r="AF171" s="28" t="s">
        <v>13</v>
      </c>
      <c r="AG171" s="29" t="s">
        <v>4</v>
      </c>
    </row>
    <row r="172" spans="1:33" ht="12.75" customHeight="1">
      <c r="A172" s="144" t="s">
        <v>242</v>
      </c>
      <c r="B172" s="144">
        <v>100</v>
      </c>
      <c r="C172" s="144" t="s">
        <v>89</v>
      </c>
      <c r="D172" s="145">
        <f t="shared" ref="D172" si="321">B172</f>
        <v>100</v>
      </c>
      <c r="E172" s="146">
        <f>P173</f>
        <v>251.81181181181182</v>
      </c>
      <c r="F172" s="147">
        <f>B172/2.5</f>
        <v>40</v>
      </c>
      <c r="G172" s="148">
        <f>B172/3.33</f>
        <v>30.03003003003003</v>
      </c>
      <c r="H172" s="148">
        <f>B172/3.33</f>
        <v>30.03003003003003</v>
      </c>
      <c r="I172" s="148"/>
      <c r="J172" s="148"/>
      <c r="K172" s="148"/>
      <c r="L172" s="149"/>
      <c r="M172" s="9" t="s">
        <v>11</v>
      </c>
      <c r="N172" s="9" t="s">
        <v>12</v>
      </c>
      <c r="O172" s="9" t="s">
        <v>13</v>
      </c>
      <c r="P172" s="9" t="s">
        <v>4</v>
      </c>
      <c r="R172" s="236"/>
      <c r="S172" s="232"/>
      <c r="T172" s="230"/>
      <c r="U172" s="232"/>
      <c r="V172" s="230"/>
      <c r="W172" s="232"/>
      <c r="X172" s="230"/>
      <c r="Y172" s="232"/>
      <c r="Z172" s="230"/>
      <c r="AA172" s="232"/>
      <c r="AB172" s="232"/>
      <c r="AC172" s="234"/>
      <c r="AD172" s="26">
        <f>VLOOKUP(AC173,R173:AB174,5,0)</f>
        <v>9.3413413413413426</v>
      </c>
      <c r="AE172" s="27">
        <f>VLOOKUP(AC173,R173:AB174,7,0)</f>
        <v>47.027027027027032</v>
      </c>
      <c r="AF172" s="28">
        <f>VLOOKUP(AC173,R173:AB174,9,0)</f>
        <v>2.5025025025025025</v>
      </c>
      <c r="AG172" s="29">
        <f>VLOOKUP(AC173,R173:AB174,11,0)</f>
        <v>251.81181181181182</v>
      </c>
    </row>
    <row r="173" spans="1:33" ht="12.75" customHeight="1">
      <c r="A173" s="144" t="s">
        <v>0</v>
      </c>
      <c r="B173" s="144" t="s">
        <v>1</v>
      </c>
      <c r="C173" s="144" t="s">
        <v>2</v>
      </c>
      <c r="D173" s="145" t="s">
        <v>3</v>
      </c>
      <c r="E173" s="146" t="s">
        <v>4</v>
      </c>
      <c r="F173" s="147" t="s">
        <v>243</v>
      </c>
      <c r="G173" s="148" t="s">
        <v>54</v>
      </c>
      <c r="H173" s="148" t="s">
        <v>27</v>
      </c>
      <c r="I173" s="148" t="s">
        <v>63</v>
      </c>
      <c r="J173" s="148" t="s">
        <v>51</v>
      </c>
      <c r="K173" s="148"/>
      <c r="L173" s="149"/>
      <c r="M173" s="21">
        <f>F172/30*1+H172/30*8</f>
        <v>9.3413413413413426</v>
      </c>
      <c r="N173" s="21">
        <f>F172/30*15+G172/30*15+H172/30*12</f>
        <v>47.027027027027032</v>
      </c>
      <c r="O173" s="21">
        <f>H172/30*2.5</f>
        <v>2.5025025025025025</v>
      </c>
      <c r="P173" s="21">
        <f>H172/30*120+G172/30*25+F172/30*80</f>
        <v>251.81181181181182</v>
      </c>
      <c r="R173" s="241" t="str">
        <f>A172</f>
        <v>سالاد ماکارونی رژیمی</v>
      </c>
      <c r="S173" s="238" t="s">
        <v>1</v>
      </c>
      <c r="T173" s="237">
        <f>B172</f>
        <v>100</v>
      </c>
      <c r="U173" s="238" t="s">
        <v>23</v>
      </c>
      <c r="V173" s="237">
        <f t="shared" ref="V173:V209" si="322">M173</f>
        <v>9.3413413413413426</v>
      </c>
      <c r="W173" s="238" t="s">
        <v>24</v>
      </c>
      <c r="X173" s="237">
        <f t="shared" ref="X173" si="323">N173</f>
        <v>47.027027027027032</v>
      </c>
      <c r="Y173" s="238" t="s">
        <v>13</v>
      </c>
      <c r="Z173" s="237">
        <f t="shared" si="288"/>
        <v>2.5025025025025025</v>
      </c>
      <c r="AA173" s="238" t="s">
        <v>4</v>
      </c>
      <c r="AB173" s="238">
        <f t="shared" ref="AB173" si="324">P173</f>
        <v>251.81181181181182</v>
      </c>
      <c r="AC173" s="239" t="str">
        <f>R173</f>
        <v>سالاد ماکارونی رژیمی</v>
      </c>
      <c r="AD173" s="26" t="s">
        <v>11</v>
      </c>
      <c r="AE173" s="27" t="s">
        <v>12</v>
      </c>
      <c r="AF173" s="28" t="s">
        <v>13</v>
      </c>
      <c r="AG173" s="29" t="s">
        <v>4</v>
      </c>
    </row>
    <row r="174" spans="1:33" ht="12.75" customHeight="1">
      <c r="A174" s="144" t="s">
        <v>244</v>
      </c>
      <c r="B174" s="144">
        <v>100</v>
      </c>
      <c r="C174" s="144" t="s">
        <v>89</v>
      </c>
      <c r="D174" s="145">
        <f t="shared" ref="D174" si="325">B174</f>
        <v>100</v>
      </c>
      <c r="E174" s="146">
        <f>P175</f>
        <v>171.04241696678673</v>
      </c>
      <c r="F174" s="147">
        <f>B174/1.666</f>
        <v>60.024009603841542</v>
      </c>
      <c r="G174" s="148">
        <f>B174/5</f>
        <v>20</v>
      </c>
      <c r="H174" s="148">
        <f>B174/8.33</f>
        <v>12.004801920768307</v>
      </c>
      <c r="I174" s="148">
        <f>B174/8.33</f>
        <v>12.004801920768307</v>
      </c>
      <c r="J174" s="148">
        <v>10</v>
      </c>
      <c r="K174" s="148"/>
      <c r="L174" s="149"/>
      <c r="M174" s="9" t="s">
        <v>11</v>
      </c>
      <c r="N174" s="9" t="s">
        <v>12</v>
      </c>
      <c r="O174" s="9" t="s">
        <v>13</v>
      </c>
      <c r="P174" s="9" t="s">
        <v>4</v>
      </c>
      <c r="R174" s="236"/>
      <c r="S174" s="232"/>
      <c r="T174" s="230"/>
      <c r="U174" s="232"/>
      <c r="V174" s="230"/>
      <c r="W174" s="232"/>
      <c r="X174" s="230"/>
      <c r="Y174" s="232"/>
      <c r="Z174" s="230"/>
      <c r="AA174" s="232"/>
      <c r="AB174" s="232"/>
      <c r="AC174" s="234"/>
      <c r="AD174" s="26">
        <f>VLOOKUP(AC175,R175:AB176,5,0)</f>
        <v>8.4681872749099636</v>
      </c>
      <c r="AE174" s="27">
        <f>VLOOKUP(AC175,R175:AB176,7,0)</f>
        <v>22.008803521408566</v>
      </c>
      <c r="AF174" s="28">
        <f>VLOOKUP(AC175,R175:AB176,9,0)</f>
        <v>5</v>
      </c>
      <c r="AG174" s="29">
        <f>VLOOKUP(AC175,R175:AB176,11,0)</f>
        <v>171.04241696678673</v>
      </c>
    </row>
    <row r="175" spans="1:33" ht="12.75" customHeight="1">
      <c r="A175" s="144" t="s">
        <v>0</v>
      </c>
      <c r="B175" s="144" t="s">
        <v>1</v>
      </c>
      <c r="C175" s="144" t="s">
        <v>2</v>
      </c>
      <c r="D175" s="145" t="s">
        <v>3</v>
      </c>
      <c r="E175" s="146" t="s">
        <v>4</v>
      </c>
      <c r="F175" s="147" t="s">
        <v>245</v>
      </c>
      <c r="G175" s="148" t="s">
        <v>5</v>
      </c>
      <c r="H175" s="148" t="s">
        <v>63</v>
      </c>
      <c r="I175" s="148" t="s">
        <v>27</v>
      </c>
      <c r="J175" s="148"/>
      <c r="K175" s="148"/>
      <c r="L175" s="149"/>
      <c r="M175" s="21">
        <f>F174/30*0.5+G174/30*7+H174/30*7</f>
        <v>8.4681872749099636</v>
      </c>
      <c r="N175" s="21">
        <f>I174/30*15+H174/30*15+F174/30*5</f>
        <v>22.008803521408566</v>
      </c>
      <c r="O175" s="21">
        <f>G174/30*5+J174/30*5</f>
        <v>5</v>
      </c>
      <c r="P175" s="21">
        <f>J174/30*45+I174/30*80+H174/30*60+G174/30*75+F174/30*25</f>
        <v>171.04241696678673</v>
      </c>
      <c r="R175" s="241" t="str">
        <f>A174</f>
        <v>دلمه بادمجان</v>
      </c>
      <c r="S175" s="238" t="s">
        <v>1</v>
      </c>
      <c r="T175" s="237">
        <f>B174</f>
        <v>100</v>
      </c>
      <c r="U175" s="238" t="s">
        <v>23</v>
      </c>
      <c r="V175" s="237">
        <f t="shared" ref="V175:V193" si="326">M175</f>
        <v>8.4681872749099636</v>
      </c>
      <c r="W175" s="238" t="s">
        <v>24</v>
      </c>
      <c r="X175" s="237">
        <f t="shared" ref="X175" si="327">N175</f>
        <v>22.008803521408566</v>
      </c>
      <c r="Y175" s="238" t="s">
        <v>13</v>
      </c>
      <c r="Z175" s="237">
        <f t="shared" si="292"/>
        <v>5</v>
      </c>
      <c r="AA175" s="238" t="s">
        <v>4</v>
      </c>
      <c r="AB175" s="238">
        <f t="shared" ref="AB175" si="328">P175</f>
        <v>171.04241696678673</v>
      </c>
      <c r="AC175" s="239" t="str">
        <f>R175</f>
        <v>دلمه بادمجان</v>
      </c>
      <c r="AD175" s="26" t="s">
        <v>11</v>
      </c>
      <c r="AE175" s="27" t="s">
        <v>12</v>
      </c>
      <c r="AF175" s="28" t="s">
        <v>13</v>
      </c>
      <c r="AG175" s="29" t="s">
        <v>4</v>
      </c>
    </row>
    <row r="176" spans="1:33" ht="12.75" customHeight="1">
      <c r="A176" s="144" t="s">
        <v>246</v>
      </c>
      <c r="B176" s="144">
        <v>100</v>
      </c>
      <c r="C176" s="144" t="s">
        <v>89</v>
      </c>
      <c r="D176" s="145">
        <f t="shared" ref="D176" si="329">B176</f>
        <v>100</v>
      </c>
      <c r="E176" s="146">
        <f>P177</f>
        <v>171.94254495459316</v>
      </c>
      <c r="F176" s="147">
        <f>B176/1.66</f>
        <v>60.24096385542169</v>
      </c>
      <c r="G176" s="148">
        <f>B176/3.33</f>
        <v>30.03003003003003</v>
      </c>
      <c r="H176" s="148">
        <f>B176/10</f>
        <v>10</v>
      </c>
      <c r="I176" s="148">
        <f>B176/10</f>
        <v>10</v>
      </c>
      <c r="J176" s="148"/>
      <c r="K176" s="148"/>
      <c r="L176" s="149"/>
      <c r="M176" s="9" t="s">
        <v>11</v>
      </c>
      <c r="N176" s="9" t="s">
        <v>12</v>
      </c>
      <c r="O176" s="9" t="s">
        <v>13</v>
      </c>
      <c r="P176" s="9" t="s">
        <v>4</v>
      </c>
      <c r="R176" s="236"/>
      <c r="S176" s="232"/>
      <c r="T176" s="230"/>
      <c r="U176" s="232"/>
      <c r="V176" s="230"/>
      <c r="W176" s="232"/>
      <c r="X176" s="230"/>
      <c r="Y176" s="232"/>
      <c r="Z176" s="230"/>
      <c r="AA176" s="232"/>
      <c r="AB176" s="232"/>
      <c r="AC176" s="234"/>
      <c r="AD176" s="26">
        <f>VLOOKUP(AC177,R177:AB178,5,0)</f>
        <v>9.3403403403403402</v>
      </c>
      <c r="AE176" s="27">
        <f>VLOOKUP(AC177,R177:AB178,7,0)</f>
        <v>20.040160642570282</v>
      </c>
      <c r="AF176" s="28">
        <f>VLOOKUP(AC177,R177:AB178,9,0)</f>
        <v>5.005005005005005</v>
      </c>
      <c r="AG176" s="29">
        <f>VLOOKUP(AC177,R177:AB178,11,0)</f>
        <v>171.94254495459316</v>
      </c>
    </row>
    <row r="177" spans="1:33" ht="12.75" customHeight="1">
      <c r="A177" s="144" t="s">
        <v>0</v>
      </c>
      <c r="B177" s="144" t="s">
        <v>1</v>
      </c>
      <c r="C177" s="144" t="s">
        <v>2</v>
      </c>
      <c r="D177" s="145" t="s">
        <v>3</v>
      </c>
      <c r="E177" s="146" t="s">
        <v>4</v>
      </c>
      <c r="F177" s="147" t="s">
        <v>10</v>
      </c>
      <c r="G177" s="148" t="s">
        <v>5</v>
      </c>
      <c r="H177" s="148" t="s">
        <v>63</v>
      </c>
      <c r="I177" s="148" t="s">
        <v>27</v>
      </c>
      <c r="J177" s="148"/>
      <c r="K177" s="148"/>
      <c r="L177" s="149"/>
      <c r="M177" s="21">
        <f>G176/30*7+I176/30*7</f>
        <v>9.3403403403403402</v>
      </c>
      <c r="N177" s="21">
        <f>F176/30*5+H176/30*15+I176/30*15</f>
        <v>20.040160642570282</v>
      </c>
      <c r="O177" s="21">
        <f>G176/30*5+J176/30*5</f>
        <v>5.005005005005005</v>
      </c>
      <c r="P177" s="21">
        <f>J176/30*45+I176/30*60+H176/30*80+G176/30*75+F176/30*25</f>
        <v>171.94254495459316</v>
      </c>
      <c r="R177" s="241" t="str">
        <f>A176</f>
        <v>دلمه فلفل دلمه</v>
      </c>
      <c r="S177" s="238" t="s">
        <v>1</v>
      </c>
      <c r="T177" s="237">
        <f>B176</f>
        <v>100</v>
      </c>
      <c r="U177" s="238" t="s">
        <v>23</v>
      </c>
      <c r="V177" s="237">
        <f t="shared" ref="V177:V219" si="330">M177</f>
        <v>9.3403403403403402</v>
      </c>
      <c r="W177" s="238" t="s">
        <v>24</v>
      </c>
      <c r="X177" s="237">
        <f t="shared" ref="X177" si="331">N177</f>
        <v>20.040160642570282</v>
      </c>
      <c r="Y177" s="238" t="s">
        <v>13</v>
      </c>
      <c r="Z177" s="237">
        <f t="shared" si="296"/>
        <v>5.005005005005005</v>
      </c>
      <c r="AA177" s="238" t="s">
        <v>4</v>
      </c>
      <c r="AB177" s="238">
        <f t="shared" ref="AB177" si="332">P177</f>
        <v>171.94254495459316</v>
      </c>
      <c r="AC177" s="239" t="str">
        <f>R177</f>
        <v>دلمه فلفل دلمه</v>
      </c>
      <c r="AD177" s="26" t="s">
        <v>11</v>
      </c>
      <c r="AE177" s="27" t="s">
        <v>12</v>
      </c>
      <c r="AF177" s="28" t="s">
        <v>13</v>
      </c>
      <c r="AG177" s="29" t="s">
        <v>4</v>
      </c>
    </row>
    <row r="178" spans="1:33" ht="12.75" customHeight="1">
      <c r="A178" s="144" t="s">
        <v>247</v>
      </c>
      <c r="B178" s="144">
        <v>100</v>
      </c>
      <c r="C178" s="144" t="s">
        <v>89</v>
      </c>
      <c r="D178" s="145">
        <f t="shared" ref="D178" si="333">B178</f>
        <v>100</v>
      </c>
      <c r="E178" s="146">
        <f>P179</f>
        <v>171.94254495459316</v>
      </c>
      <c r="F178" s="147">
        <f>B178/1.66</f>
        <v>60.24096385542169</v>
      </c>
      <c r="G178" s="148">
        <f>B178/3.33</f>
        <v>30.03003003003003</v>
      </c>
      <c r="H178" s="148">
        <f>B178/10</f>
        <v>10</v>
      </c>
      <c r="I178" s="148">
        <f>B178/10</f>
        <v>10</v>
      </c>
      <c r="J178" s="148"/>
      <c r="K178" s="148"/>
      <c r="L178" s="149"/>
      <c r="M178" s="9" t="s">
        <v>11</v>
      </c>
      <c r="N178" s="9" t="s">
        <v>12</v>
      </c>
      <c r="O178" s="9" t="s">
        <v>13</v>
      </c>
      <c r="P178" s="9" t="s">
        <v>4</v>
      </c>
      <c r="R178" s="236"/>
      <c r="S178" s="232"/>
      <c r="T178" s="230"/>
      <c r="U178" s="232"/>
      <c r="V178" s="230"/>
      <c r="W178" s="232"/>
      <c r="X178" s="230"/>
      <c r="Y178" s="232"/>
      <c r="Z178" s="230"/>
      <c r="AA178" s="232"/>
      <c r="AB178" s="232"/>
      <c r="AC178" s="234"/>
      <c r="AD178" s="26">
        <f>VLOOKUP(AC179,R179:AB180,5,0)</f>
        <v>9.3403403403403402</v>
      </c>
      <c r="AE178" s="27">
        <f>VLOOKUP(AC179,R179:AB180,7,0)</f>
        <v>20.040160642570282</v>
      </c>
      <c r="AF178" s="28">
        <f>VLOOKUP(AC179,R179:AB180,9,0)</f>
        <v>5.005005005005005</v>
      </c>
      <c r="AG178" s="29">
        <f>VLOOKUP(AC179,R179:AB180,11,0)</f>
        <v>171.94254495459316</v>
      </c>
    </row>
    <row r="179" spans="1:33" ht="12.75" customHeight="1">
      <c r="A179" s="144" t="s">
        <v>0</v>
      </c>
      <c r="B179" s="144" t="s">
        <v>1</v>
      </c>
      <c r="C179" s="144" t="s">
        <v>2</v>
      </c>
      <c r="D179" s="145" t="s">
        <v>3</v>
      </c>
      <c r="E179" s="146" t="s">
        <v>4</v>
      </c>
      <c r="F179" s="147" t="s">
        <v>228</v>
      </c>
      <c r="G179" s="148" t="s">
        <v>5</v>
      </c>
      <c r="H179" s="148" t="s">
        <v>27</v>
      </c>
      <c r="I179" s="148" t="s">
        <v>63</v>
      </c>
      <c r="J179" s="148"/>
      <c r="K179" s="148"/>
      <c r="L179" s="149"/>
      <c r="M179" s="21">
        <f>G178/30*7+I178/30*7</f>
        <v>9.3403403403403402</v>
      </c>
      <c r="N179" s="21">
        <f>I178/30*15+H178/30*15+F178/30*5</f>
        <v>20.040160642570282</v>
      </c>
      <c r="O179" s="21">
        <f>G178/30*5</f>
        <v>5.005005005005005</v>
      </c>
      <c r="P179" s="21">
        <f>I178/30*60+H178/30*80+G178/30*75+F178/30*25</f>
        <v>171.94254495459316</v>
      </c>
      <c r="R179" s="241" t="str">
        <f>A178</f>
        <v>دلمه پیاز</v>
      </c>
      <c r="S179" s="238" t="s">
        <v>1</v>
      </c>
      <c r="T179" s="237">
        <f>B178</f>
        <v>100</v>
      </c>
      <c r="U179" s="238" t="s">
        <v>23</v>
      </c>
      <c r="V179" s="237">
        <f t="shared" ref="V179:V197" si="334">M179</f>
        <v>9.3403403403403402</v>
      </c>
      <c r="W179" s="238" t="s">
        <v>24</v>
      </c>
      <c r="X179" s="237">
        <f t="shared" ref="X179" si="335">N179</f>
        <v>20.040160642570282</v>
      </c>
      <c r="Y179" s="238" t="s">
        <v>13</v>
      </c>
      <c r="Z179" s="237">
        <f t="shared" si="300"/>
        <v>5.005005005005005</v>
      </c>
      <c r="AA179" s="238" t="s">
        <v>4</v>
      </c>
      <c r="AB179" s="238">
        <f t="shared" ref="AB179" si="336">P179</f>
        <v>171.94254495459316</v>
      </c>
      <c r="AC179" s="239" t="str">
        <f>R179</f>
        <v>دلمه پیاز</v>
      </c>
      <c r="AD179" s="26" t="s">
        <v>11</v>
      </c>
      <c r="AE179" s="27" t="s">
        <v>12</v>
      </c>
      <c r="AF179" s="28" t="s">
        <v>13</v>
      </c>
      <c r="AG179" s="29" t="s">
        <v>4</v>
      </c>
    </row>
    <row r="180" spans="1:33" ht="12.75" customHeight="1">
      <c r="A180" s="144" t="s">
        <v>248</v>
      </c>
      <c r="B180" s="144">
        <v>100</v>
      </c>
      <c r="C180" s="144" t="s">
        <v>89</v>
      </c>
      <c r="D180" s="145">
        <f t="shared" ref="D180" si="337">B180</f>
        <v>100</v>
      </c>
      <c r="E180" s="146">
        <f>P181</f>
        <v>171.94254495459316</v>
      </c>
      <c r="F180" s="147">
        <f>B180/1.66</f>
        <v>60.24096385542169</v>
      </c>
      <c r="G180" s="148">
        <f>B180/3.33</f>
        <v>30.03003003003003</v>
      </c>
      <c r="H180" s="148">
        <f>B180/10</f>
        <v>10</v>
      </c>
      <c r="I180" s="148">
        <f>B180/10</f>
        <v>10</v>
      </c>
      <c r="J180" s="148"/>
      <c r="K180" s="148"/>
      <c r="L180" s="149"/>
      <c r="M180" s="9" t="s">
        <v>11</v>
      </c>
      <c r="N180" s="9" t="s">
        <v>12</v>
      </c>
      <c r="O180" s="9" t="s">
        <v>13</v>
      </c>
      <c r="P180" s="9" t="s">
        <v>4</v>
      </c>
      <c r="R180" s="236"/>
      <c r="S180" s="232"/>
      <c r="T180" s="230"/>
      <c r="U180" s="232"/>
      <c r="V180" s="230"/>
      <c r="W180" s="232"/>
      <c r="X180" s="230"/>
      <c r="Y180" s="232"/>
      <c r="Z180" s="230"/>
      <c r="AA180" s="232"/>
      <c r="AB180" s="232"/>
      <c r="AC180" s="234"/>
      <c r="AD180" s="26">
        <f>VLOOKUP(AC181,R181:AB182,5,0)</f>
        <v>9.3403403403403402</v>
      </c>
      <c r="AE180" s="27">
        <f>VLOOKUP(AC181,R181:AB182,7,0)</f>
        <v>20.040160642570282</v>
      </c>
      <c r="AF180" s="28">
        <f>VLOOKUP(AC181,R181:AB182,9,0)</f>
        <v>5.005005005005005</v>
      </c>
      <c r="AG180" s="29">
        <f>VLOOKUP(AC181,R181:AB182,11,0)</f>
        <v>171.94254495459316</v>
      </c>
    </row>
    <row r="181" spans="1:33" ht="12.75" customHeight="1">
      <c r="A181" s="144" t="s">
        <v>0</v>
      </c>
      <c r="B181" s="144" t="s">
        <v>1</v>
      </c>
      <c r="C181" s="144" t="s">
        <v>2</v>
      </c>
      <c r="D181" s="145" t="s">
        <v>3</v>
      </c>
      <c r="E181" s="146" t="s">
        <v>4</v>
      </c>
      <c r="F181" s="147" t="s">
        <v>228</v>
      </c>
      <c r="G181" s="148" t="s">
        <v>5</v>
      </c>
      <c r="H181" s="148" t="s">
        <v>27</v>
      </c>
      <c r="I181" s="148" t="s">
        <v>63</v>
      </c>
      <c r="J181" s="148"/>
      <c r="K181" s="148"/>
      <c r="L181" s="149"/>
      <c r="M181" s="21">
        <f>G180/30*7+H180/30*7</f>
        <v>9.3403403403403402</v>
      </c>
      <c r="N181" s="21">
        <f>I180/30*15+H180/30*15+F180/30*5</f>
        <v>20.040160642570282</v>
      </c>
      <c r="O181" s="21">
        <f>G180/30*5</f>
        <v>5.005005005005005</v>
      </c>
      <c r="P181" s="21">
        <f>I180/30*80+H180/30*60+G180/30*75+F180/30*25</f>
        <v>171.94254495459316</v>
      </c>
      <c r="R181" s="241" t="str">
        <f>A180</f>
        <v>دلمه گوجه فرنگی</v>
      </c>
      <c r="S181" s="238" t="s">
        <v>1</v>
      </c>
      <c r="T181" s="237">
        <f>B180</f>
        <v>100</v>
      </c>
      <c r="U181" s="238" t="s">
        <v>23</v>
      </c>
      <c r="V181" s="237">
        <f t="shared" ref="V181:V199" si="338">M181</f>
        <v>9.3403403403403402</v>
      </c>
      <c r="W181" s="238" t="s">
        <v>24</v>
      </c>
      <c r="X181" s="237">
        <f t="shared" ref="X181" si="339">N181</f>
        <v>20.040160642570282</v>
      </c>
      <c r="Y181" s="238" t="s">
        <v>13</v>
      </c>
      <c r="Z181" s="237">
        <f t="shared" si="305"/>
        <v>5.005005005005005</v>
      </c>
      <c r="AA181" s="238" t="s">
        <v>4</v>
      </c>
      <c r="AB181" s="238">
        <f t="shared" ref="AB181" si="340">P181</f>
        <v>171.94254495459316</v>
      </c>
      <c r="AC181" s="239" t="str">
        <f>R181</f>
        <v>دلمه گوجه فرنگی</v>
      </c>
      <c r="AD181" s="26" t="s">
        <v>11</v>
      </c>
      <c r="AE181" s="27" t="s">
        <v>12</v>
      </c>
      <c r="AF181" s="28" t="s">
        <v>13</v>
      </c>
      <c r="AG181" s="29" t="s">
        <v>4</v>
      </c>
    </row>
    <row r="182" spans="1:33" ht="13.5" customHeight="1">
      <c r="A182" s="144" t="s">
        <v>249</v>
      </c>
      <c r="B182" s="144">
        <v>100</v>
      </c>
      <c r="C182" s="144" t="s">
        <v>89</v>
      </c>
      <c r="D182" s="145">
        <f t="shared" ref="D182" si="341">B182</f>
        <v>100</v>
      </c>
      <c r="E182" s="146">
        <f>P183</f>
        <v>171.94254495459316</v>
      </c>
      <c r="F182" s="147">
        <f>B182/1.66</f>
        <v>60.24096385542169</v>
      </c>
      <c r="G182" s="148">
        <f>B182/3.33</f>
        <v>30.03003003003003</v>
      </c>
      <c r="H182" s="148">
        <f>B182/10</f>
        <v>10</v>
      </c>
      <c r="I182" s="148">
        <f>B182/10</f>
        <v>10</v>
      </c>
      <c r="J182" s="148"/>
      <c r="K182" s="148"/>
      <c r="L182" s="149"/>
      <c r="M182" s="9" t="s">
        <v>11</v>
      </c>
      <c r="N182" s="9" t="s">
        <v>12</v>
      </c>
      <c r="O182" s="9" t="s">
        <v>13</v>
      </c>
      <c r="P182" s="9" t="s">
        <v>4</v>
      </c>
      <c r="R182" s="236"/>
      <c r="S182" s="232"/>
      <c r="T182" s="230"/>
      <c r="U182" s="232"/>
      <c r="V182" s="230"/>
      <c r="W182" s="232"/>
      <c r="X182" s="230"/>
      <c r="Y182" s="232"/>
      <c r="Z182" s="230"/>
      <c r="AA182" s="232"/>
      <c r="AB182" s="232"/>
      <c r="AC182" s="234"/>
      <c r="AD182" s="26">
        <f>VLOOKUP(AC183,R183:AB184,5,0)</f>
        <v>9.3403403403403402</v>
      </c>
      <c r="AE182" s="27">
        <f>VLOOKUP(AC183,R183:AB184,7,0)</f>
        <v>20.040160642570282</v>
      </c>
      <c r="AF182" s="28">
        <f>VLOOKUP(AC183,R183:AB184,9,0)</f>
        <v>5.005005005005005</v>
      </c>
      <c r="AG182" s="29">
        <f>VLOOKUP(AC183,R183:AB184,11,0)</f>
        <v>171.94254495459316</v>
      </c>
    </row>
    <row r="183" spans="1:33" ht="13.5" customHeight="1">
      <c r="A183" s="144" t="s">
        <v>0</v>
      </c>
      <c r="B183" s="144" t="s">
        <v>1</v>
      </c>
      <c r="C183" s="144" t="s">
        <v>2</v>
      </c>
      <c r="D183" s="145" t="s">
        <v>3</v>
      </c>
      <c r="E183" s="146" t="s">
        <v>4</v>
      </c>
      <c r="F183" s="147" t="s">
        <v>6</v>
      </c>
      <c r="G183" s="148" t="s">
        <v>37</v>
      </c>
      <c r="H183" s="148" t="s">
        <v>192</v>
      </c>
      <c r="I183" s="148" t="s">
        <v>250</v>
      </c>
      <c r="J183" s="148" t="s">
        <v>235</v>
      </c>
      <c r="K183" s="148"/>
      <c r="L183" s="149"/>
      <c r="M183" s="21">
        <f>G182/30*7+H182/30*7</f>
        <v>9.3403403403403402</v>
      </c>
      <c r="N183" s="21">
        <f>I182/30*15+H182/30*15+F182/30*5</f>
        <v>20.040160642570282</v>
      </c>
      <c r="O183" s="21">
        <f>G182/30*5</f>
        <v>5.005005005005005</v>
      </c>
      <c r="P183" s="21">
        <f>I182/30*80+H182/30*60+G182/30*75+F182/30*25</f>
        <v>171.94254495459316</v>
      </c>
      <c r="R183" s="241" t="str">
        <f>A182</f>
        <v>دلمه کدو</v>
      </c>
      <c r="S183" s="238" t="s">
        <v>1</v>
      </c>
      <c r="T183" s="237">
        <f>B182</f>
        <v>100</v>
      </c>
      <c r="U183" s="238" t="s">
        <v>23</v>
      </c>
      <c r="V183" s="237">
        <f t="shared" ref="V183" si="342">M183</f>
        <v>9.3403403403403402</v>
      </c>
      <c r="W183" s="238" t="s">
        <v>24</v>
      </c>
      <c r="X183" s="237">
        <f t="shared" ref="X183" si="343">N183</f>
        <v>20.040160642570282</v>
      </c>
      <c r="Y183" s="238" t="s">
        <v>13</v>
      </c>
      <c r="Z183" s="237">
        <f t="shared" ref="Z183" si="344">O183</f>
        <v>5.005005005005005</v>
      </c>
      <c r="AA183" s="238" t="s">
        <v>4</v>
      </c>
      <c r="AB183" s="238">
        <f t="shared" ref="AB183" si="345">P183</f>
        <v>171.94254495459316</v>
      </c>
      <c r="AC183" s="239" t="str">
        <f>R183</f>
        <v>دلمه کدو</v>
      </c>
      <c r="AD183" s="26" t="s">
        <v>11</v>
      </c>
      <c r="AE183" s="27" t="s">
        <v>12</v>
      </c>
      <c r="AF183" s="28" t="s">
        <v>13</v>
      </c>
      <c r="AG183" s="29" t="s">
        <v>4</v>
      </c>
    </row>
    <row r="184" spans="1:33" ht="12.75" customHeight="1">
      <c r="A184" s="144" t="s">
        <v>251</v>
      </c>
      <c r="B184" s="144">
        <v>100</v>
      </c>
      <c r="C184" s="144" t="s">
        <v>89</v>
      </c>
      <c r="D184" s="145">
        <f t="shared" ref="D184" si="346">B184</f>
        <v>100</v>
      </c>
      <c r="E184" s="146">
        <f>P185</f>
        <v>374.30104571949266</v>
      </c>
      <c r="F184" s="147">
        <f>B184/1.66</f>
        <v>60.24096385542169</v>
      </c>
      <c r="G184" s="148">
        <f>B184/1.66</f>
        <v>60.24096385542169</v>
      </c>
      <c r="H184" s="148">
        <f>B184/1.666</f>
        <v>60.024009603841542</v>
      </c>
      <c r="I184" s="148">
        <f>B184/5</f>
        <v>20</v>
      </c>
      <c r="J184" s="148">
        <f>B184/5</f>
        <v>20</v>
      </c>
      <c r="K184" s="148"/>
      <c r="L184" s="149"/>
      <c r="M184" s="9" t="s">
        <v>11</v>
      </c>
      <c r="N184" s="9" t="s">
        <v>12</v>
      </c>
      <c r="O184" s="9" t="s">
        <v>13</v>
      </c>
      <c r="P184" s="9" t="s">
        <v>4</v>
      </c>
      <c r="R184" s="236"/>
      <c r="S184" s="232"/>
      <c r="T184" s="230"/>
      <c r="U184" s="232"/>
      <c r="V184" s="230"/>
      <c r="W184" s="232"/>
      <c r="X184" s="230"/>
      <c r="Y184" s="232"/>
      <c r="Z184" s="230"/>
      <c r="AA184" s="232"/>
      <c r="AB184" s="232"/>
      <c r="AC184" s="234"/>
      <c r="AD184" s="26">
        <f>VLOOKUP(AC185,R185:AB186,5,0)</f>
        <v>40.733295727929729</v>
      </c>
      <c r="AE184" s="27">
        <f>VLOOKUP(AC185,R185:AB186,7,0)</f>
        <v>33.453815261044177</v>
      </c>
      <c r="AF184" s="28">
        <f>VLOOKUP(AC185,R185:AB186,9,0)</f>
        <v>4.0088324486421083</v>
      </c>
      <c r="AG184" s="29">
        <f>VLOOKUP(AC185,R185:AB186,11,0)</f>
        <v>374.30104571949266</v>
      </c>
    </row>
    <row r="185" spans="1:33" ht="12.75" customHeight="1">
      <c r="A185" s="144" t="s">
        <v>0</v>
      </c>
      <c r="B185" s="144" t="s">
        <v>1</v>
      </c>
      <c r="C185" s="144" t="s">
        <v>2</v>
      </c>
      <c r="D185" s="145" t="s">
        <v>3</v>
      </c>
      <c r="E185" s="146" t="s">
        <v>4</v>
      </c>
      <c r="F185" s="147" t="s">
        <v>6</v>
      </c>
      <c r="G185" s="148" t="s">
        <v>37</v>
      </c>
      <c r="H185" s="148" t="s">
        <v>192</v>
      </c>
      <c r="I185" s="148" t="s">
        <v>250</v>
      </c>
      <c r="J185" s="148" t="s">
        <v>235</v>
      </c>
      <c r="K185" s="148" t="s">
        <v>252</v>
      </c>
      <c r="L185" s="149"/>
      <c r="M185" s="21">
        <f>G184/30*7+H184/30*13+J184/30*1</f>
        <v>40.733295727929729</v>
      </c>
      <c r="N185" s="21">
        <f>J184/30*5+F184/30*15</f>
        <v>33.453815261044177</v>
      </c>
      <c r="O185" s="21">
        <f>H184/30*1+G184/30*1</f>
        <v>4.0088324486421083</v>
      </c>
      <c r="P185" s="21">
        <f>J184/30*25+I184/30*25+H184/30*55+G184/30*55+F184/30*60</f>
        <v>374.30104571949266</v>
      </c>
      <c r="R185" s="241" t="str">
        <f>A184</f>
        <v>سالاد الویه بدون سس</v>
      </c>
      <c r="S185" s="238" t="s">
        <v>1</v>
      </c>
      <c r="T185" s="237">
        <f>B184</f>
        <v>100</v>
      </c>
      <c r="U185" s="238" t="s">
        <v>23</v>
      </c>
      <c r="V185" s="237">
        <f t="shared" si="308"/>
        <v>40.733295727929729</v>
      </c>
      <c r="W185" s="238" t="s">
        <v>24</v>
      </c>
      <c r="X185" s="237">
        <f t="shared" ref="X185" si="347">N185</f>
        <v>33.453815261044177</v>
      </c>
      <c r="Y185" s="238" t="s">
        <v>13</v>
      </c>
      <c r="Z185" s="237">
        <f t="shared" ref="Z185" si="348">O185</f>
        <v>4.0088324486421083</v>
      </c>
      <c r="AA185" s="238" t="s">
        <v>4</v>
      </c>
      <c r="AB185" s="238">
        <f t="shared" ref="AB185" si="349">P185</f>
        <v>374.30104571949266</v>
      </c>
      <c r="AC185" s="239" t="str">
        <f>R185</f>
        <v>سالاد الویه بدون سس</v>
      </c>
      <c r="AD185" s="26" t="s">
        <v>11</v>
      </c>
      <c r="AE185" s="27" t="s">
        <v>12</v>
      </c>
      <c r="AF185" s="28" t="s">
        <v>13</v>
      </c>
      <c r="AG185" s="29" t="s">
        <v>4</v>
      </c>
    </row>
    <row r="186" spans="1:33" ht="12.75" customHeight="1">
      <c r="A186" s="144" t="s">
        <v>251</v>
      </c>
      <c r="B186" s="144">
        <v>100</v>
      </c>
      <c r="C186" s="144" t="s">
        <v>89</v>
      </c>
      <c r="D186" s="145">
        <f t="shared" ref="D186" si="350">B186</f>
        <v>100</v>
      </c>
      <c r="E186" s="146">
        <f>P187</f>
        <v>411.50104571949265</v>
      </c>
      <c r="F186" s="147">
        <f>B186/1.66</f>
        <v>60.24096385542169</v>
      </c>
      <c r="G186" s="148">
        <f>B186/1.66</f>
        <v>60.24096385542169</v>
      </c>
      <c r="H186" s="148">
        <f>B186/1.666</f>
        <v>60.024009603841542</v>
      </c>
      <c r="I186" s="148">
        <f>B186/5</f>
        <v>20</v>
      </c>
      <c r="J186" s="148">
        <f>B186/5</f>
        <v>20</v>
      </c>
      <c r="K186" s="148">
        <v>20</v>
      </c>
      <c r="L186" s="149"/>
      <c r="M186" s="9" t="s">
        <v>11</v>
      </c>
      <c r="N186" s="9" t="s">
        <v>12</v>
      </c>
      <c r="O186" s="9" t="s">
        <v>13</v>
      </c>
      <c r="P186" s="9" t="s">
        <v>4</v>
      </c>
      <c r="R186" s="236"/>
      <c r="S186" s="232"/>
      <c r="T186" s="230"/>
      <c r="U186" s="232"/>
      <c r="V186" s="230"/>
      <c r="W186" s="232"/>
      <c r="X186" s="230"/>
      <c r="Y186" s="232"/>
      <c r="Z186" s="230"/>
      <c r="AA186" s="232"/>
      <c r="AB186" s="232"/>
      <c r="AC186" s="234"/>
      <c r="AD186" s="26">
        <f>VLOOKUP(AC187,R187:AB188,5,0)</f>
        <v>40.733295727929729</v>
      </c>
      <c r="AE186" s="27">
        <f>VLOOKUP(AC187,R187:AB188,7,0)</f>
        <v>33.453815261044177</v>
      </c>
      <c r="AF186" s="28">
        <f>VLOOKUP(AC187,R187:AB188,9,0)</f>
        <v>8.4088324486421087</v>
      </c>
      <c r="AG186" s="29">
        <f>VLOOKUP(AC187,R187:AB188,11,0)</f>
        <v>411.50104571949265</v>
      </c>
    </row>
    <row r="187" spans="1:33" ht="12.75" customHeight="1">
      <c r="A187" s="144" t="s">
        <v>0</v>
      </c>
      <c r="B187" s="144" t="s">
        <v>1</v>
      </c>
      <c r="C187" s="144" t="s">
        <v>2</v>
      </c>
      <c r="D187" s="145" t="s">
        <v>3</v>
      </c>
      <c r="E187" s="146" t="s">
        <v>4</v>
      </c>
      <c r="F187" s="147" t="s">
        <v>253</v>
      </c>
      <c r="G187" s="148" t="s">
        <v>254</v>
      </c>
      <c r="H187" s="148" t="s">
        <v>51</v>
      </c>
      <c r="I187" s="148"/>
      <c r="J187" s="148"/>
      <c r="K187" s="148"/>
      <c r="L187" s="149"/>
      <c r="M187" s="21">
        <f>G186/30*7+H186/30*13+J186/30*1</f>
        <v>40.733295727929729</v>
      </c>
      <c r="N187" s="21">
        <f>J186/30*5+F186/30*15</f>
        <v>33.453815261044177</v>
      </c>
      <c r="O187" s="21">
        <f>H186/30*1+G186/30*1+K186/100*22</f>
        <v>8.4088324486421087</v>
      </c>
      <c r="P187" s="21">
        <f>J186/30*25+I186/30*25+H186/30*55+G186/30*55+F186/30*60+K186/100*186</f>
        <v>411.50104571949265</v>
      </c>
      <c r="R187" s="241" t="str">
        <f>A186</f>
        <v>سالاد الویه بدون سس</v>
      </c>
      <c r="S187" s="238" t="s">
        <v>1</v>
      </c>
      <c r="T187" s="237">
        <f>B186</f>
        <v>100</v>
      </c>
      <c r="U187" s="238" t="s">
        <v>23</v>
      </c>
      <c r="V187" s="237">
        <f t="shared" si="313"/>
        <v>40.733295727929729</v>
      </c>
      <c r="W187" s="238" t="s">
        <v>24</v>
      </c>
      <c r="X187" s="237">
        <f t="shared" ref="X187" si="351">N187</f>
        <v>33.453815261044177</v>
      </c>
      <c r="Y187" s="238" t="s">
        <v>13</v>
      </c>
      <c r="Z187" s="237">
        <f t="shared" ref="Z187" si="352">O187</f>
        <v>8.4088324486421087</v>
      </c>
      <c r="AA187" s="238" t="s">
        <v>4</v>
      </c>
      <c r="AB187" s="238">
        <f t="shared" ref="AB187" si="353">P187</f>
        <v>411.50104571949265</v>
      </c>
      <c r="AC187" s="239" t="str">
        <f>R187</f>
        <v>سالاد الویه بدون سس</v>
      </c>
      <c r="AD187" s="26" t="s">
        <v>11</v>
      </c>
      <c r="AE187" s="27" t="s">
        <v>12</v>
      </c>
      <c r="AF187" s="28" t="s">
        <v>13</v>
      </c>
      <c r="AG187" s="29" t="s">
        <v>4</v>
      </c>
    </row>
    <row r="188" spans="1:33" ht="12.75" customHeight="1">
      <c r="A188" s="144" t="s">
        <v>255</v>
      </c>
      <c r="B188" s="144">
        <v>100</v>
      </c>
      <c r="C188" s="144" t="s">
        <v>89</v>
      </c>
      <c r="D188" s="145">
        <f t="shared" ref="D188" si="354">B188</f>
        <v>100</v>
      </c>
      <c r="E188" s="146">
        <f>P189</f>
        <v>218.33333333333334</v>
      </c>
      <c r="F188" s="147">
        <f>B188/1</f>
        <v>100</v>
      </c>
      <c r="G188" s="148">
        <f>B188/10</f>
        <v>10</v>
      </c>
      <c r="H188" s="148">
        <f>B188/10</f>
        <v>10</v>
      </c>
      <c r="I188" s="148"/>
      <c r="J188" s="148"/>
      <c r="K188" s="148"/>
      <c r="L188" s="149"/>
      <c r="M188" s="9" t="s">
        <v>11</v>
      </c>
      <c r="N188" s="9" t="s">
        <v>12</v>
      </c>
      <c r="O188" s="9" t="s">
        <v>13</v>
      </c>
      <c r="P188" s="9" t="s">
        <v>4</v>
      </c>
      <c r="R188" s="236"/>
      <c r="S188" s="232"/>
      <c r="T188" s="230"/>
      <c r="U188" s="232"/>
      <c r="V188" s="230"/>
      <c r="W188" s="232"/>
      <c r="X188" s="230"/>
      <c r="Y188" s="232"/>
      <c r="Z188" s="230"/>
      <c r="AA188" s="232"/>
      <c r="AB188" s="232"/>
      <c r="AC188" s="234"/>
      <c r="AD188" s="26">
        <f>VLOOKUP(AC189,R189:AB190,5,0)</f>
        <v>23.333333333333336</v>
      </c>
      <c r="AE188" s="27">
        <f>VLOOKUP(AC189,R189:AB190,7,0)</f>
        <v>5</v>
      </c>
      <c r="AF188" s="28">
        <f>VLOOKUP(AC189,R189:AB190,9,0)</f>
        <v>1.6666666666666665</v>
      </c>
      <c r="AG188" s="29">
        <f>VLOOKUP(AC189,R189:AB190,11,0)</f>
        <v>218.33333333333334</v>
      </c>
    </row>
    <row r="189" spans="1:33" ht="12.75" customHeight="1">
      <c r="A189" s="144" t="s">
        <v>0</v>
      </c>
      <c r="B189" s="144" t="s">
        <v>1</v>
      </c>
      <c r="C189" s="144" t="s">
        <v>2</v>
      </c>
      <c r="D189" s="145" t="s">
        <v>3</v>
      </c>
      <c r="E189" s="146" t="s">
        <v>4</v>
      </c>
      <c r="F189" s="147" t="s">
        <v>256</v>
      </c>
      <c r="G189" s="148" t="s">
        <v>254</v>
      </c>
      <c r="H189" s="148" t="s">
        <v>51</v>
      </c>
      <c r="I189" s="148"/>
      <c r="J189" s="148"/>
      <c r="K189" s="148"/>
      <c r="L189" s="149"/>
      <c r="M189" s="21">
        <f>F188/30*7</f>
        <v>23.333333333333336</v>
      </c>
      <c r="N189" s="21">
        <f>G188/30*15</f>
        <v>5</v>
      </c>
      <c r="O189" s="21">
        <f>H188/30*5</f>
        <v>1.6666666666666665</v>
      </c>
      <c r="P189" s="21">
        <f>G188/30*60+F188/30*55+H188/30*45</f>
        <v>218.33333333333334</v>
      </c>
      <c r="R189" s="241" t="str">
        <f>A188</f>
        <v>شنتسل مرغ</v>
      </c>
      <c r="S189" s="238" t="s">
        <v>1</v>
      </c>
      <c r="T189" s="237">
        <f>B188</f>
        <v>100</v>
      </c>
      <c r="U189" s="238" t="s">
        <v>23</v>
      </c>
      <c r="V189" s="237">
        <f t="shared" si="318"/>
        <v>23.333333333333336</v>
      </c>
      <c r="W189" s="238" t="s">
        <v>24</v>
      </c>
      <c r="X189" s="237">
        <f t="shared" ref="X189" si="355">N189</f>
        <v>5</v>
      </c>
      <c r="Y189" s="238" t="s">
        <v>13</v>
      </c>
      <c r="Z189" s="237">
        <f t="shared" ref="Z189" si="356">O189</f>
        <v>1.6666666666666665</v>
      </c>
      <c r="AA189" s="238" t="s">
        <v>4</v>
      </c>
      <c r="AB189" s="238">
        <f t="shared" ref="AB189" si="357">P189</f>
        <v>218.33333333333334</v>
      </c>
      <c r="AC189" s="239" t="str">
        <f>R189</f>
        <v>شنتسل مرغ</v>
      </c>
      <c r="AD189" s="26" t="s">
        <v>11</v>
      </c>
      <c r="AE189" s="27" t="s">
        <v>12</v>
      </c>
      <c r="AF189" s="28" t="s">
        <v>13</v>
      </c>
      <c r="AG189" s="29" t="s">
        <v>4</v>
      </c>
    </row>
    <row r="190" spans="1:33" ht="12.75" customHeight="1">
      <c r="A190" s="144" t="s">
        <v>257</v>
      </c>
      <c r="B190" s="144">
        <v>100</v>
      </c>
      <c r="C190" s="144" t="s">
        <v>89</v>
      </c>
      <c r="D190" s="145">
        <f t="shared" ref="D190" si="358">B190</f>
        <v>100</v>
      </c>
      <c r="E190" s="146">
        <f>P191</f>
        <v>248.37837837837839</v>
      </c>
      <c r="F190" s="147">
        <f>B190/1</f>
        <v>100</v>
      </c>
      <c r="G190" s="148">
        <f>B190/10</f>
        <v>10</v>
      </c>
      <c r="H190" s="148">
        <f>B190/3.33</f>
        <v>30.03003003003003</v>
      </c>
      <c r="I190" s="148"/>
      <c r="J190" s="148"/>
      <c r="K190" s="148"/>
      <c r="L190" s="149"/>
      <c r="M190" s="9" t="s">
        <v>11</v>
      </c>
      <c r="N190" s="9" t="s">
        <v>12</v>
      </c>
      <c r="O190" s="9" t="s">
        <v>13</v>
      </c>
      <c r="P190" s="9" t="s">
        <v>4</v>
      </c>
      <c r="R190" s="236"/>
      <c r="S190" s="232"/>
      <c r="T190" s="230"/>
      <c r="U190" s="232"/>
      <c r="V190" s="230"/>
      <c r="W190" s="232"/>
      <c r="X190" s="230"/>
      <c r="Y190" s="232"/>
      <c r="Z190" s="230"/>
      <c r="AA190" s="232"/>
      <c r="AB190" s="232"/>
      <c r="AC190" s="234"/>
      <c r="AD190" s="26">
        <f>VLOOKUP(AC191,R191:AB192,5,0)</f>
        <v>23.333333333333336</v>
      </c>
      <c r="AE190" s="27">
        <f>VLOOKUP(AC191,R191:AB192,7,0)</f>
        <v>5</v>
      </c>
      <c r="AF190" s="28">
        <f>VLOOKUP(AC191,R191:AB192,9,0)</f>
        <v>5.005005005005005</v>
      </c>
      <c r="AG190" s="29">
        <f>VLOOKUP(AC191,R191:AB192,11,0)</f>
        <v>248.37837837837839</v>
      </c>
    </row>
    <row r="191" spans="1:33" ht="12.75" customHeight="1">
      <c r="A191" s="144" t="s">
        <v>0</v>
      </c>
      <c r="B191" s="144" t="s">
        <v>1</v>
      </c>
      <c r="C191" s="144" t="s">
        <v>2</v>
      </c>
      <c r="D191" s="145" t="s">
        <v>3</v>
      </c>
      <c r="E191" s="146" t="s">
        <v>4</v>
      </c>
      <c r="F191" s="147" t="s">
        <v>258</v>
      </c>
      <c r="G191" s="148" t="s">
        <v>51</v>
      </c>
      <c r="H191" s="148"/>
      <c r="I191" s="148"/>
      <c r="J191" s="148"/>
      <c r="K191" s="148"/>
      <c r="L191" s="149"/>
      <c r="M191" s="21">
        <f>F190/30*7</f>
        <v>23.333333333333336</v>
      </c>
      <c r="N191" s="21">
        <f>G190/30*15</f>
        <v>5</v>
      </c>
      <c r="O191" s="21">
        <f>H190/30*5</f>
        <v>5.005005005005005</v>
      </c>
      <c r="P191" s="21">
        <f>G190/30*60+F190/30*55+H190/30*45</f>
        <v>248.37837837837839</v>
      </c>
      <c r="R191" s="241" t="str">
        <f>A190</f>
        <v>مرغ سوخاری</v>
      </c>
      <c r="S191" s="238" t="s">
        <v>1</v>
      </c>
      <c r="T191" s="237">
        <f>B190</f>
        <v>100</v>
      </c>
      <c r="U191" s="238" t="s">
        <v>23</v>
      </c>
      <c r="V191" s="237">
        <f t="shared" si="322"/>
        <v>23.333333333333336</v>
      </c>
      <c r="W191" s="238" t="s">
        <v>24</v>
      </c>
      <c r="X191" s="237">
        <f t="shared" ref="X191" si="359">N191</f>
        <v>5</v>
      </c>
      <c r="Y191" s="238" t="s">
        <v>13</v>
      </c>
      <c r="Z191" s="237">
        <f t="shared" ref="Z191" si="360">O191</f>
        <v>5.005005005005005</v>
      </c>
      <c r="AA191" s="238" t="s">
        <v>4</v>
      </c>
      <c r="AB191" s="238">
        <f t="shared" ref="AB191" si="361">P191</f>
        <v>248.37837837837839</v>
      </c>
      <c r="AC191" s="239" t="str">
        <f>R191</f>
        <v>مرغ سوخاری</v>
      </c>
      <c r="AD191" s="26" t="s">
        <v>11</v>
      </c>
      <c r="AE191" s="27" t="s">
        <v>12</v>
      </c>
      <c r="AF191" s="28" t="s">
        <v>13</v>
      </c>
      <c r="AG191" s="29" t="s">
        <v>4</v>
      </c>
    </row>
    <row r="192" spans="1:33" ht="12.75" customHeight="1">
      <c r="A192" s="144" t="s">
        <v>259</v>
      </c>
      <c r="B192" s="144">
        <v>100</v>
      </c>
      <c r="C192" s="144" t="s">
        <v>89</v>
      </c>
      <c r="D192" s="145">
        <f t="shared" ref="D192" si="362">B192</f>
        <v>100</v>
      </c>
      <c r="E192" s="146">
        <f>P193</f>
        <v>223</v>
      </c>
      <c r="F192" s="147">
        <f>B192/1</f>
        <v>100</v>
      </c>
      <c r="G192" s="148">
        <f>B192/10</f>
        <v>10</v>
      </c>
      <c r="H192" s="148"/>
      <c r="I192" s="148"/>
      <c r="J192" s="148"/>
      <c r="K192" s="148"/>
      <c r="L192" s="149"/>
      <c r="M192" s="9" t="s">
        <v>11</v>
      </c>
      <c r="N192" s="9" t="s">
        <v>12</v>
      </c>
      <c r="O192" s="9" t="s">
        <v>13</v>
      </c>
      <c r="P192" s="9" t="s">
        <v>4</v>
      </c>
      <c r="R192" s="236"/>
      <c r="S192" s="232"/>
      <c r="T192" s="230"/>
      <c r="U192" s="232"/>
      <c r="V192" s="230"/>
      <c r="W192" s="232"/>
      <c r="X192" s="230"/>
      <c r="Y192" s="232"/>
      <c r="Z192" s="230"/>
      <c r="AA192" s="232"/>
      <c r="AB192" s="232"/>
      <c r="AC192" s="234"/>
      <c r="AD192" s="26">
        <f>VLOOKUP(AC193,R193:AB194,5,0)</f>
        <v>16</v>
      </c>
      <c r="AE192" s="27">
        <f>VLOOKUP(AC193,R193:AB194,7,0)</f>
        <v>20</v>
      </c>
      <c r="AF192" s="28">
        <f>VLOOKUP(AC193,R193:AB194,9,0)</f>
        <v>8.6666666666666661</v>
      </c>
      <c r="AG192" s="29">
        <f>VLOOKUP(AC193,R193:AB194,11,0)</f>
        <v>223</v>
      </c>
    </row>
    <row r="193" spans="1:33" ht="12.75" customHeight="1">
      <c r="A193" s="144" t="s">
        <v>0</v>
      </c>
      <c r="B193" s="144" t="s">
        <v>1</v>
      </c>
      <c r="C193" s="144" t="s">
        <v>2</v>
      </c>
      <c r="D193" s="145" t="s">
        <v>3</v>
      </c>
      <c r="E193" s="146" t="s">
        <v>4</v>
      </c>
      <c r="F193" s="147" t="s">
        <v>6</v>
      </c>
      <c r="G193" s="148"/>
      <c r="H193" s="148"/>
      <c r="I193" s="148"/>
      <c r="J193" s="148"/>
      <c r="K193" s="148"/>
      <c r="L193" s="149"/>
      <c r="M193" s="21">
        <f>F192/100*16</f>
        <v>16</v>
      </c>
      <c r="N193" s="21">
        <f>F192/100*20</f>
        <v>20</v>
      </c>
      <c r="O193" s="21">
        <f>F192/100*7+G192/30*5</f>
        <v>8.6666666666666661</v>
      </c>
      <c r="P193" s="21">
        <f>F192/100*208+G192/30*45</f>
        <v>223</v>
      </c>
      <c r="R193" s="241" t="str">
        <f>A192</f>
        <v xml:space="preserve">ناگت </v>
      </c>
      <c r="S193" s="238" t="s">
        <v>1</v>
      </c>
      <c r="T193" s="237">
        <f>B192</f>
        <v>100</v>
      </c>
      <c r="U193" s="238" t="s">
        <v>23</v>
      </c>
      <c r="V193" s="237">
        <f t="shared" si="326"/>
        <v>16</v>
      </c>
      <c r="W193" s="238" t="s">
        <v>24</v>
      </c>
      <c r="X193" s="237">
        <f t="shared" ref="X193" si="363">N193</f>
        <v>20</v>
      </c>
      <c r="Y193" s="238" t="s">
        <v>13</v>
      </c>
      <c r="Z193" s="237">
        <f t="shared" ref="Z193" si="364">O193</f>
        <v>8.6666666666666661</v>
      </c>
      <c r="AA193" s="238" t="s">
        <v>4</v>
      </c>
      <c r="AB193" s="238">
        <f t="shared" ref="AB193" si="365">P193</f>
        <v>223</v>
      </c>
      <c r="AC193" s="239" t="str">
        <f>R193</f>
        <v xml:space="preserve">ناگت </v>
      </c>
      <c r="AD193" s="26" t="s">
        <v>11</v>
      </c>
      <c r="AE193" s="27" t="s">
        <v>12</v>
      </c>
      <c r="AF193" s="28" t="s">
        <v>13</v>
      </c>
      <c r="AG193" s="29" t="s">
        <v>4</v>
      </c>
    </row>
    <row r="194" spans="1:33" ht="12.75" customHeight="1">
      <c r="A194" s="144" t="s">
        <v>260</v>
      </c>
      <c r="B194" s="144">
        <v>100</v>
      </c>
      <c r="C194" s="144" t="s">
        <v>89</v>
      </c>
      <c r="D194" s="145">
        <f t="shared" ref="D194" si="366">B194</f>
        <v>100</v>
      </c>
      <c r="E194" s="146">
        <f>P195</f>
        <v>200</v>
      </c>
      <c r="F194" s="147">
        <f>B194/1</f>
        <v>100</v>
      </c>
      <c r="G194" s="148"/>
      <c r="H194" s="148"/>
      <c r="I194" s="148"/>
      <c r="J194" s="148"/>
      <c r="K194" s="148"/>
      <c r="L194" s="149"/>
      <c r="M194" s="9" t="s">
        <v>11</v>
      </c>
      <c r="N194" s="9" t="s">
        <v>12</v>
      </c>
      <c r="O194" s="9" t="s">
        <v>13</v>
      </c>
      <c r="P194" s="9" t="s">
        <v>4</v>
      </c>
      <c r="R194" s="236"/>
      <c r="S194" s="232"/>
      <c r="T194" s="230"/>
      <c r="U194" s="232"/>
      <c r="V194" s="230"/>
      <c r="W194" s="232"/>
      <c r="X194" s="230"/>
      <c r="Y194" s="232"/>
      <c r="Z194" s="230"/>
      <c r="AA194" s="232"/>
      <c r="AB194" s="232"/>
      <c r="AC194" s="234"/>
      <c r="AD194" s="26">
        <f>VLOOKUP(AC195,R195:AB196,5,0)</f>
        <v>4</v>
      </c>
      <c r="AE194" s="27">
        <f>VLOOKUP(AC195,R195:AB196,7,0)</f>
        <v>30</v>
      </c>
      <c r="AF194" s="28">
        <f>VLOOKUP(AC195,R195:AB196,9,0)</f>
        <v>10</v>
      </c>
      <c r="AG194" s="29">
        <f>VLOOKUP(AC195,R195:AB196,11,0)</f>
        <v>200</v>
      </c>
    </row>
    <row r="195" spans="1:33" ht="12.75" customHeight="1">
      <c r="A195" s="144" t="s">
        <v>0</v>
      </c>
      <c r="B195" s="144" t="s">
        <v>1</v>
      </c>
      <c r="C195" s="144" t="s">
        <v>2</v>
      </c>
      <c r="D195" s="145" t="s">
        <v>3</v>
      </c>
      <c r="E195" s="146" t="s">
        <v>4</v>
      </c>
      <c r="F195" s="147" t="s">
        <v>6</v>
      </c>
      <c r="G195" s="148"/>
      <c r="H195" s="148"/>
      <c r="I195" s="148"/>
      <c r="J195" s="148"/>
      <c r="K195" s="148"/>
      <c r="L195" s="149"/>
      <c r="M195" s="21">
        <f>B194/100*4</f>
        <v>4</v>
      </c>
      <c r="N195" s="21">
        <f>B194/100*30</f>
        <v>30</v>
      </c>
      <c r="O195" s="21">
        <f>B194/100*10</f>
        <v>10</v>
      </c>
      <c r="P195" s="21">
        <f>B194/100*200</f>
        <v>200</v>
      </c>
      <c r="R195" s="241" t="str">
        <f>A194</f>
        <v>سیب زمینی سرخ کرده خانگی</v>
      </c>
      <c r="S195" s="238" t="s">
        <v>1</v>
      </c>
      <c r="T195" s="237">
        <f>B194</f>
        <v>100</v>
      </c>
      <c r="U195" s="238" t="s">
        <v>23</v>
      </c>
      <c r="V195" s="237">
        <f t="shared" si="330"/>
        <v>4</v>
      </c>
      <c r="W195" s="238" t="s">
        <v>24</v>
      </c>
      <c r="X195" s="237">
        <f t="shared" ref="X195" si="367">N195</f>
        <v>30</v>
      </c>
      <c r="Y195" s="238" t="s">
        <v>13</v>
      </c>
      <c r="Z195" s="237">
        <f t="shared" ref="Z195" si="368">O195</f>
        <v>10</v>
      </c>
      <c r="AA195" s="238" t="s">
        <v>4</v>
      </c>
      <c r="AB195" s="238">
        <f t="shared" ref="AB195" si="369">P195</f>
        <v>200</v>
      </c>
      <c r="AC195" s="239" t="str">
        <f>R195</f>
        <v>سیب زمینی سرخ کرده خانگی</v>
      </c>
      <c r="AD195" s="26" t="s">
        <v>11</v>
      </c>
      <c r="AE195" s="27" t="s">
        <v>12</v>
      </c>
      <c r="AF195" s="28" t="s">
        <v>13</v>
      </c>
      <c r="AG195" s="29" t="s">
        <v>4</v>
      </c>
    </row>
    <row r="196" spans="1:33" ht="12.75" customHeight="1">
      <c r="A196" s="144" t="s">
        <v>261</v>
      </c>
      <c r="B196" s="144">
        <v>100</v>
      </c>
      <c r="C196" s="144" t="s">
        <v>89</v>
      </c>
      <c r="D196" s="145">
        <f t="shared" ref="D196" si="370">B196</f>
        <v>100</v>
      </c>
      <c r="E196" s="146">
        <f>P197</f>
        <v>75</v>
      </c>
      <c r="F196" s="147">
        <v>100</v>
      </c>
      <c r="G196" s="148"/>
      <c r="H196" s="148"/>
      <c r="I196" s="148"/>
      <c r="J196" s="148"/>
      <c r="K196" s="148"/>
      <c r="L196" s="149"/>
      <c r="M196" s="9" t="s">
        <v>11</v>
      </c>
      <c r="N196" s="9" t="s">
        <v>12</v>
      </c>
      <c r="O196" s="9" t="s">
        <v>13</v>
      </c>
      <c r="P196" s="9" t="s">
        <v>4</v>
      </c>
      <c r="R196" s="236"/>
      <c r="S196" s="232"/>
      <c r="T196" s="230"/>
      <c r="U196" s="232"/>
      <c r="V196" s="230"/>
      <c r="W196" s="232"/>
      <c r="X196" s="230"/>
      <c r="Y196" s="232"/>
      <c r="Z196" s="230"/>
      <c r="AA196" s="232"/>
      <c r="AB196" s="232"/>
      <c r="AC196" s="234"/>
      <c r="AD196" s="26">
        <f>VLOOKUP(AC197,R197:AB198,5,0)</f>
        <v>1.5</v>
      </c>
      <c r="AE196" s="27">
        <f>VLOOKUP(AC197,R197:AB198,7,0)</f>
        <v>20</v>
      </c>
      <c r="AF196" s="28">
        <f>VLOOKUP(AC197,R197:AB198,9,0)</f>
        <v>0</v>
      </c>
      <c r="AG196" s="29">
        <f>VLOOKUP(AC197,R197:AB198,11,0)</f>
        <v>75</v>
      </c>
    </row>
    <row r="197" spans="1:33" ht="12.75" customHeight="1">
      <c r="A197" s="144" t="s">
        <v>0</v>
      </c>
      <c r="B197" s="144" t="s">
        <v>1</v>
      </c>
      <c r="C197" s="144" t="s">
        <v>2</v>
      </c>
      <c r="D197" s="145" t="s">
        <v>3</v>
      </c>
      <c r="E197" s="146" t="s">
        <v>4</v>
      </c>
      <c r="F197" s="147" t="s">
        <v>262</v>
      </c>
      <c r="G197" s="148" t="s">
        <v>112</v>
      </c>
      <c r="H197" s="148"/>
      <c r="I197" s="148"/>
      <c r="J197" s="148"/>
      <c r="K197" s="148"/>
      <c r="L197" s="149"/>
      <c r="M197" s="21">
        <f>B196/100*1.5</f>
        <v>1.5</v>
      </c>
      <c r="N197" s="21">
        <f>B196/100*20</f>
        <v>20</v>
      </c>
      <c r="O197" s="21">
        <v>0</v>
      </c>
      <c r="P197" s="21">
        <f>B196/100*75</f>
        <v>75</v>
      </c>
      <c r="R197" s="241" t="str">
        <f>A196</f>
        <v>سیب زمینی آب پز</v>
      </c>
      <c r="S197" s="238" t="s">
        <v>1</v>
      </c>
      <c r="T197" s="237">
        <f>B196</f>
        <v>100</v>
      </c>
      <c r="U197" s="238" t="s">
        <v>23</v>
      </c>
      <c r="V197" s="237">
        <f t="shared" si="334"/>
        <v>1.5</v>
      </c>
      <c r="W197" s="238" t="s">
        <v>24</v>
      </c>
      <c r="X197" s="237">
        <f t="shared" ref="X197" si="371">N197</f>
        <v>20</v>
      </c>
      <c r="Y197" s="238" t="s">
        <v>13</v>
      </c>
      <c r="Z197" s="237">
        <f t="shared" ref="Z197" si="372">O197</f>
        <v>0</v>
      </c>
      <c r="AA197" s="238" t="s">
        <v>4</v>
      </c>
      <c r="AB197" s="238">
        <f t="shared" ref="AB197" si="373">P197</f>
        <v>75</v>
      </c>
      <c r="AC197" s="239" t="str">
        <f>R197</f>
        <v>سیب زمینی آب پز</v>
      </c>
      <c r="AD197" s="26" t="s">
        <v>11</v>
      </c>
      <c r="AE197" s="27" t="s">
        <v>12</v>
      </c>
      <c r="AF197" s="28" t="s">
        <v>13</v>
      </c>
      <c r="AG197" s="29" t="s">
        <v>4</v>
      </c>
    </row>
    <row r="198" spans="1:33" ht="12.75" customHeight="1">
      <c r="A198" s="144" t="s">
        <v>263</v>
      </c>
      <c r="B198" s="144">
        <v>100</v>
      </c>
      <c r="C198" s="144" t="s">
        <v>89</v>
      </c>
      <c r="D198" s="145">
        <f t="shared" ref="D198" si="374">B198</f>
        <v>100</v>
      </c>
      <c r="E198" s="146">
        <f>P199</f>
        <v>180</v>
      </c>
      <c r="F198" s="147">
        <f>B198/1</f>
        <v>100</v>
      </c>
      <c r="G198" s="148">
        <f>B198/5</f>
        <v>20</v>
      </c>
      <c r="H198" s="148"/>
      <c r="I198" s="148"/>
      <c r="J198" s="148"/>
      <c r="K198" s="148"/>
      <c r="L198" s="149"/>
      <c r="M198" s="9" t="s">
        <v>11</v>
      </c>
      <c r="N198" s="9" t="s">
        <v>12</v>
      </c>
      <c r="O198" s="9" t="s">
        <v>13</v>
      </c>
      <c r="P198" s="9" t="s">
        <v>4</v>
      </c>
      <c r="R198" s="236"/>
      <c r="S198" s="232"/>
      <c r="T198" s="230"/>
      <c r="U198" s="232"/>
      <c r="V198" s="230"/>
      <c r="W198" s="232"/>
      <c r="X198" s="230"/>
      <c r="Y198" s="232"/>
      <c r="Z198" s="230"/>
      <c r="AA198" s="232"/>
      <c r="AB198" s="232"/>
      <c r="AC198" s="234"/>
      <c r="AD198" s="26">
        <f>VLOOKUP(AC199,R199:AB200,5,0)</f>
        <v>3.3333333333333335</v>
      </c>
      <c r="AE198" s="27">
        <f>VLOOKUP(AC199,R199:AB200,7,0)</f>
        <v>20</v>
      </c>
      <c r="AF198" s="28">
        <f>VLOOKUP(AC199,R199:AB200,9,0)</f>
        <v>3.333333333333333</v>
      </c>
      <c r="AG198" s="29">
        <f>VLOOKUP(AC199,R199:AB200,11,0)</f>
        <v>180</v>
      </c>
    </row>
    <row r="199" spans="1:33" ht="12.75" customHeight="1">
      <c r="A199" s="144" t="s">
        <v>0</v>
      </c>
      <c r="B199" s="144" t="s">
        <v>1</v>
      </c>
      <c r="C199" s="144" t="s">
        <v>2</v>
      </c>
      <c r="D199" s="145" t="s">
        <v>3</v>
      </c>
      <c r="E199" s="146" t="s">
        <v>4</v>
      </c>
      <c r="F199" s="147" t="s">
        <v>264</v>
      </c>
      <c r="G199" s="148"/>
      <c r="H199" s="148"/>
      <c r="I199" s="148"/>
      <c r="J199" s="148"/>
      <c r="K199" s="148"/>
      <c r="L199" s="149"/>
      <c r="M199" s="21">
        <f>F198/30*1</f>
        <v>3.3333333333333335</v>
      </c>
      <c r="N199" s="21">
        <f>F198/100*20</f>
        <v>20</v>
      </c>
      <c r="O199" s="21">
        <f>G198/30*5</f>
        <v>3.333333333333333</v>
      </c>
      <c r="P199" s="21">
        <f>B198/100*180</f>
        <v>180</v>
      </c>
      <c r="R199" s="241" t="str">
        <f>A198</f>
        <v>پوره سیب زمینی</v>
      </c>
      <c r="S199" s="238" t="s">
        <v>1</v>
      </c>
      <c r="T199" s="237">
        <f>B198</f>
        <v>100</v>
      </c>
      <c r="U199" s="238" t="s">
        <v>23</v>
      </c>
      <c r="V199" s="237">
        <f t="shared" si="338"/>
        <v>3.3333333333333335</v>
      </c>
      <c r="W199" s="238" t="s">
        <v>24</v>
      </c>
      <c r="X199" s="237">
        <f t="shared" ref="X199" si="375">N199</f>
        <v>20</v>
      </c>
      <c r="Y199" s="238" t="s">
        <v>13</v>
      </c>
      <c r="Z199" s="237">
        <f t="shared" ref="Z199" si="376">O199</f>
        <v>3.333333333333333</v>
      </c>
      <c r="AA199" s="238" t="s">
        <v>4</v>
      </c>
      <c r="AB199" s="238">
        <f t="shared" ref="AB199" si="377">P199</f>
        <v>180</v>
      </c>
      <c r="AC199" s="239" t="str">
        <f>R199</f>
        <v>پوره سیب زمینی</v>
      </c>
      <c r="AD199" s="26" t="s">
        <v>11</v>
      </c>
      <c r="AE199" s="27" t="s">
        <v>12</v>
      </c>
      <c r="AF199" s="28" t="s">
        <v>13</v>
      </c>
      <c r="AG199" s="29" t="s">
        <v>4</v>
      </c>
    </row>
    <row r="200" spans="1:33" ht="12.75" customHeight="1">
      <c r="A200" s="144" t="s">
        <v>265</v>
      </c>
      <c r="B200" s="144">
        <v>100</v>
      </c>
      <c r="C200" s="144" t="s">
        <v>89</v>
      </c>
      <c r="D200" s="145">
        <f t="shared" ref="D200" si="378">B200</f>
        <v>100</v>
      </c>
      <c r="E200" s="146">
        <f>B200/0.3003</f>
        <v>333.000333000333</v>
      </c>
      <c r="F200" s="147">
        <f>B200</f>
        <v>100</v>
      </c>
      <c r="G200" s="148"/>
      <c r="H200" s="148"/>
      <c r="I200" s="148"/>
      <c r="J200" s="148"/>
      <c r="K200" s="148"/>
      <c r="L200" s="149"/>
      <c r="M200" s="9" t="s">
        <v>11</v>
      </c>
      <c r="N200" s="9" t="s">
        <v>12</v>
      </c>
      <c r="O200" s="9" t="s">
        <v>13</v>
      </c>
      <c r="P200" s="9" t="s">
        <v>4</v>
      </c>
      <c r="R200" s="236"/>
      <c r="S200" s="232"/>
      <c r="T200" s="230"/>
      <c r="U200" s="232"/>
      <c r="V200" s="230"/>
      <c r="W200" s="232"/>
      <c r="X200" s="230"/>
      <c r="Y200" s="232"/>
      <c r="Z200" s="230"/>
      <c r="AA200" s="232"/>
      <c r="AB200" s="232"/>
      <c r="AC200" s="234"/>
      <c r="AD200" s="26">
        <f>VLOOKUP(AC201,R201:AB202,5,0)</f>
        <v>13</v>
      </c>
      <c r="AE200" s="27">
        <f>VLOOKUP(AC201,R201:AB202,7,0)</f>
        <v>32</v>
      </c>
      <c r="AF200" s="28">
        <f>VLOOKUP(AC201,R201:AB202,9,0)</f>
        <v>18</v>
      </c>
      <c r="AG200" s="29">
        <f>VLOOKUP(AC201,R201:AB202,11,0)</f>
        <v>333</v>
      </c>
    </row>
    <row r="201" spans="1:33" ht="12.75" customHeight="1">
      <c r="A201" s="144" t="s">
        <v>0</v>
      </c>
      <c r="B201" s="144" t="s">
        <v>1</v>
      </c>
      <c r="C201" s="144" t="s">
        <v>2</v>
      </c>
      <c r="D201" s="145" t="s">
        <v>3</v>
      </c>
      <c r="E201" s="146" t="s">
        <v>4</v>
      </c>
      <c r="F201" s="147"/>
      <c r="G201" s="148"/>
      <c r="H201" s="148"/>
      <c r="I201" s="148"/>
      <c r="J201" s="148"/>
      <c r="K201" s="148"/>
      <c r="L201" s="149"/>
      <c r="M201" s="21">
        <f>B200/100*13</f>
        <v>13</v>
      </c>
      <c r="N201" s="21">
        <f>B200/100*32</f>
        <v>32</v>
      </c>
      <c r="O201" s="21">
        <f>B200/100*18</f>
        <v>18</v>
      </c>
      <c r="P201" s="21">
        <f>B200/100*333</f>
        <v>333</v>
      </c>
      <c r="R201" s="241" t="str">
        <f>A200</f>
        <v>فلافل سرخ شده (3-4 عدد)</v>
      </c>
      <c r="S201" s="238" t="s">
        <v>1</v>
      </c>
      <c r="T201" s="237">
        <f>B200</f>
        <v>100</v>
      </c>
      <c r="U201" s="238" t="s">
        <v>23</v>
      </c>
      <c r="V201" s="237">
        <f t="shared" ref="V201" si="379">M201</f>
        <v>13</v>
      </c>
      <c r="W201" s="238" t="s">
        <v>24</v>
      </c>
      <c r="X201" s="237">
        <f t="shared" ref="X201" si="380">N201</f>
        <v>32</v>
      </c>
      <c r="Y201" s="238" t="s">
        <v>13</v>
      </c>
      <c r="Z201" s="237">
        <f t="shared" si="288"/>
        <v>18</v>
      </c>
      <c r="AA201" s="238" t="s">
        <v>4</v>
      </c>
      <c r="AB201" s="238">
        <f t="shared" ref="AB201" si="381">P201</f>
        <v>333</v>
      </c>
      <c r="AC201" s="239" t="str">
        <f>R201</f>
        <v>فلافل سرخ شده (3-4 عدد)</v>
      </c>
      <c r="AD201" s="26" t="s">
        <v>11</v>
      </c>
      <c r="AE201" s="27" t="s">
        <v>12</v>
      </c>
      <c r="AF201" s="28" t="s">
        <v>13</v>
      </c>
      <c r="AG201" s="29" t="s">
        <v>4</v>
      </c>
    </row>
    <row r="202" spans="1:33" ht="12.75" customHeight="1">
      <c r="A202" s="144" t="s">
        <v>266</v>
      </c>
      <c r="B202" s="144">
        <v>100</v>
      </c>
      <c r="C202" s="144" t="s">
        <v>89</v>
      </c>
      <c r="D202" s="145">
        <f t="shared" ref="D202" si="382">B202</f>
        <v>100</v>
      </c>
      <c r="E202" s="146">
        <f>P203</f>
        <v>160</v>
      </c>
      <c r="F202" s="147"/>
      <c r="G202" s="148"/>
      <c r="H202" s="148"/>
      <c r="I202" s="148"/>
      <c r="J202" s="148"/>
      <c r="K202" s="148"/>
      <c r="L202" s="149"/>
      <c r="M202" s="9" t="s">
        <v>11</v>
      </c>
      <c r="N202" s="9" t="s">
        <v>12</v>
      </c>
      <c r="O202" s="9" t="s">
        <v>13</v>
      </c>
      <c r="P202" s="9" t="s">
        <v>4</v>
      </c>
      <c r="R202" s="236"/>
      <c r="S202" s="232"/>
      <c r="T202" s="230"/>
      <c r="U202" s="232"/>
      <c r="V202" s="230"/>
      <c r="W202" s="232"/>
      <c r="X202" s="230"/>
      <c r="Y202" s="232"/>
      <c r="Z202" s="230"/>
      <c r="AA202" s="232"/>
      <c r="AB202" s="232"/>
      <c r="AC202" s="234"/>
      <c r="AD202" s="26">
        <f>VLOOKUP(AC203,R203:AB204,5,0)</f>
        <v>13</v>
      </c>
      <c r="AE202" s="27">
        <f>VLOOKUP(AC203,R203:AB204,7,0)</f>
        <v>4</v>
      </c>
      <c r="AF202" s="28">
        <f>VLOOKUP(AC203,R203:AB204,9,0)</f>
        <v>13</v>
      </c>
      <c r="AG202" s="29">
        <f>VLOOKUP(AC203,R203:AB204,11,0)</f>
        <v>160</v>
      </c>
    </row>
    <row r="203" spans="1:33" ht="12.75" customHeight="1">
      <c r="A203" s="144" t="s">
        <v>0</v>
      </c>
      <c r="B203" s="144" t="s">
        <v>1</v>
      </c>
      <c r="C203" s="144" t="s">
        <v>2</v>
      </c>
      <c r="D203" s="145" t="s">
        <v>3</v>
      </c>
      <c r="E203" s="146" t="s">
        <v>4</v>
      </c>
      <c r="F203" s="147"/>
      <c r="G203" s="148"/>
      <c r="H203" s="148"/>
      <c r="I203" s="148"/>
      <c r="J203" s="148"/>
      <c r="K203" s="148"/>
      <c r="L203" s="149"/>
      <c r="M203" s="21">
        <f>B202/100*13</f>
        <v>13</v>
      </c>
      <c r="N203" s="21">
        <f>B202/100*4</f>
        <v>4</v>
      </c>
      <c r="O203" s="21">
        <f>B202/100*13</f>
        <v>13</v>
      </c>
      <c r="P203" s="21">
        <f>B202/100*160</f>
        <v>160</v>
      </c>
      <c r="R203" s="241" t="str">
        <f>A202</f>
        <v>همبر 60% گوشت ذغالی بدون نان</v>
      </c>
      <c r="S203" s="238" t="s">
        <v>1</v>
      </c>
      <c r="T203" s="237">
        <f>B202</f>
        <v>100</v>
      </c>
      <c r="U203" s="238" t="s">
        <v>23</v>
      </c>
      <c r="V203" s="237">
        <f t="shared" si="308"/>
        <v>13</v>
      </c>
      <c r="W203" s="238" t="s">
        <v>24</v>
      </c>
      <c r="X203" s="237">
        <f t="shared" ref="X203" si="383">N203</f>
        <v>4</v>
      </c>
      <c r="Y203" s="238" t="s">
        <v>13</v>
      </c>
      <c r="Z203" s="237">
        <f t="shared" si="292"/>
        <v>13</v>
      </c>
      <c r="AA203" s="238" t="s">
        <v>4</v>
      </c>
      <c r="AB203" s="238">
        <f t="shared" ref="AB203" si="384">P203</f>
        <v>160</v>
      </c>
      <c r="AC203" s="239" t="str">
        <f>R203</f>
        <v>همبر 60% گوشت ذغالی بدون نان</v>
      </c>
      <c r="AD203" s="26" t="s">
        <v>11</v>
      </c>
      <c r="AE203" s="27" t="s">
        <v>12</v>
      </c>
      <c r="AF203" s="28" t="s">
        <v>13</v>
      </c>
      <c r="AG203" s="29" t="s">
        <v>4</v>
      </c>
    </row>
    <row r="204" spans="1:33" ht="12.75" customHeight="1">
      <c r="A204" s="144" t="s">
        <v>267</v>
      </c>
      <c r="B204" s="144">
        <v>100</v>
      </c>
      <c r="C204" s="144" t="s">
        <v>89</v>
      </c>
      <c r="D204" s="145">
        <f t="shared" ref="D204" si="385">B204</f>
        <v>100</v>
      </c>
      <c r="E204" s="146">
        <f>B204/100*180</f>
        <v>180</v>
      </c>
      <c r="F204" s="147"/>
      <c r="G204" s="148"/>
      <c r="H204" s="148"/>
      <c r="I204" s="148"/>
      <c r="J204" s="148"/>
      <c r="K204" s="148"/>
      <c r="L204" s="149"/>
      <c r="M204" s="9" t="s">
        <v>11</v>
      </c>
      <c r="N204" s="9" t="s">
        <v>12</v>
      </c>
      <c r="O204" s="9" t="s">
        <v>13</v>
      </c>
      <c r="P204" s="9" t="s">
        <v>4</v>
      </c>
      <c r="R204" s="236"/>
      <c r="S204" s="232"/>
      <c r="T204" s="230"/>
      <c r="U204" s="232"/>
      <c r="V204" s="230"/>
      <c r="W204" s="232"/>
      <c r="X204" s="230"/>
      <c r="Y204" s="232"/>
      <c r="Z204" s="230"/>
      <c r="AA204" s="232"/>
      <c r="AB204" s="232"/>
      <c r="AC204" s="234"/>
      <c r="AD204" s="26">
        <f>VLOOKUP(AC205,R205:AB206,5,0)</f>
        <v>13</v>
      </c>
      <c r="AE204" s="27">
        <f>VLOOKUP(AC205,R205:AB206,7,0)</f>
        <v>4</v>
      </c>
      <c r="AF204" s="28">
        <f>VLOOKUP(AC205,R205:AB206,9,0)</f>
        <v>16</v>
      </c>
      <c r="AG204" s="29">
        <f>VLOOKUP(AC205,R205:AB206,11,0)</f>
        <v>270</v>
      </c>
    </row>
    <row r="205" spans="1:33" ht="12.75" customHeight="1">
      <c r="A205" s="144" t="s">
        <v>0</v>
      </c>
      <c r="B205" s="144" t="s">
        <v>1</v>
      </c>
      <c r="C205" s="144" t="s">
        <v>2</v>
      </c>
      <c r="D205" s="145" t="s">
        <v>3</v>
      </c>
      <c r="E205" s="146" t="s">
        <v>4</v>
      </c>
      <c r="F205" s="147"/>
      <c r="G205" s="148"/>
      <c r="H205" s="148"/>
      <c r="I205" s="148"/>
      <c r="J205" s="148"/>
      <c r="K205" s="148"/>
      <c r="L205" s="149"/>
      <c r="M205" s="21">
        <f>B204/100*13</f>
        <v>13</v>
      </c>
      <c r="N205" s="21">
        <f>B204/100*4</f>
        <v>4</v>
      </c>
      <c r="O205" s="21">
        <f>B204/100*16</f>
        <v>16</v>
      </c>
      <c r="P205" s="21">
        <f>B142/100*180</f>
        <v>270</v>
      </c>
      <c r="R205" s="241" t="str">
        <f>A204</f>
        <v>همبر 75% گوشت ذغالی بدون نان</v>
      </c>
      <c r="S205" s="238" t="s">
        <v>1</v>
      </c>
      <c r="T205" s="237">
        <f>B204</f>
        <v>100</v>
      </c>
      <c r="U205" s="238" t="s">
        <v>23</v>
      </c>
      <c r="V205" s="237">
        <f t="shared" si="313"/>
        <v>13</v>
      </c>
      <c r="W205" s="238" t="s">
        <v>24</v>
      </c>
      <c r="X205" s="237">
        <f t="shared" ref="X205" si="386">N205</f>
        <v>4</v>
      </c>
      <c r="Y205" s="238" t="s">
        <v>13</v>
      </c>
      <c r="Z205" s="237">
        <f t="shared" si="296"/>
        <v>16</v>
      </c>
      <c r="AA205" s="238" t="s">
        <v>4</v>
      </c>
      <c r="AB205" s="238">
        <f t="shared" ref="AB205" si="387">P205</f>
        <v>270</v>
      </c>
      <c r="AC205" s="239" t="str">
        <f>R205</f>
        <v>همبر 75% گوشت ذغالی بدون نان</v>
      </c>
      <c r="AD205" s="26" t="s">
        <v>11</v>
      </c>
      <c r="AE205" s="27" t="s">
        <v>12</v>
      </c>
      <c r="AF205" s="28" t="s">
        <v>13</v>
      </c>
      <c r="AG205" s="29" t="s">
        <v>4</v>
      </c>
    </row>
    <row r="206" spans="1:33" ht="12.75" customHeight="1">
      <c r="A206" s="144" t="s">
        <v>268</v>
      </c>
      <c r="B206" s="144">
        <v>100</v>
      </c>
      <c r="C206" s="144" t="s">
        <v>89</v>
      </c>
      <c r="D206" s="145">
        <f t="shared" ref="D206" si="388">B206</f>
        <v>100</v>
      </c>
      <c r="E206" s="146">
        <f>B206/100*216</f>
        <v>216</v>
      </c>
      <c r="F206" s="147"/>
      <c r="G206" s="148"/>
      <c r="H206" s="148"/>
      <c r="I206" s="148"/>
      <c r="J206" s="148"/>
      <c r="K206" s="148"/>
      <c r="L206" s="149"/>
      <c r="M206" s="9" t="s">
        <v>11</v>
      </c>
      <c r="N206" s="9" t="s">
        <v>12</v>
      </c>
      <c r="O206" s="9" t="s">
        <v>13</v>
      </c>
      <c r="P206" s="9" t="s">
        <v>4</v>
      </c>
      <c r="R206" s="236"/>
      <c r="S206" s="232"/>
      <c r="T206" s="230"/>
      <c r="U206" s="232"/>
      <c r="V206" s="230"/>
      <c r="W206" s="232"/>
      <c r="X206" s="230"/>
      <c r="Y206" s="232"/>
      <c r="Z206" s="230"/>
      <c r="AA206" s="232"/>
      <c r="AB206" s="232"/>
      <c r="AC206" s="234"/>
      <c r="AD206" s="26">
        <f>VLOOKUP(AC207,R207:AB208,5,0)</f>
        <v>13</v>
      </c>
      <c r="AE206" s="27">
        <f>VLOOKUP(AC207,R207:AB208,7,0)</f>
        <v>4</v>
      </c>
      <c r="AF206" s="28">
        <f>VLOOKUP(AC207,R207:AB208,9,0)</f>
        <v>17</v>
      </c>
      <c r="AG206" s="29">
        <f>VLOOKUP(AC207,R207:AB208,11,0)</f>
        <v>216</v>
      </c>
    </row>
    <row r="207" spans="1:33" ht="12.75" customHeight="1">
      <c r="A207" s="144" t="s">
        <v>0</v>
      </c>
      <c r="B207" s="144" t="s">
        <v>1</v>
      </c>
      <c r="C207" s="144" t="s">
        <v>2</v>
      </c>
      <c r="D207" s="145" t="s">
        <v>3</v>
      </c>
      <c r="E207" s="146" t="s">
        <v>4</v>
      </c>
      <c r="F207" s="147"/>
      <c r="G207" s="148"/>
      <c r="H207" s="148"/>
      <c r="I207" s="148"/>
      <c r="J207" s="148"/>
      <c r="K207" s="148"/>
      <c r="L207" s="149"/>
      <c r="M207" s="21">
        <f>B206/100*13</f>
        <v>13</v>
      </c>
      <c r="N207" s="21">
        <f>B206/100*4</f>
        <v>4</v>
      </c>
      <c r="O207" s="21">
        <f>B206/100*17</f>
        <v>17</v>
      </c>
      <c r="P207" s="21">
        <f>B206/100*216</f>
        <v>216</v>
      </c>
      <c r="R207" s="241" t="str">
        <f>A206</f>
        <v>همبر 90% گوشت ذغالی بدون نان</v>
      </c>
      <c r="S207" s="238" t="s">
        <v>1</v>
      </c>
      <c r="T207" s="237">
        <f>B206</f>
        <v>100</v>
      </c>
      <c r="U207" s="238" t="s">
        <v>23</v>
      </c>
      <c r="V207" s="237">
        <f t="shared" si="318"/>
        <v>13</v>
      </c>
      <c r="W207" s="238" t="s">
        <v>24</v>
      </c>
      <c r="X207" s="237">
        <f t="shared" ref="X207" si="389">N207</f>
        <v>4</v>
      </c>
      <c r="Y207" s="238" t="s">
        <v>13</v>
      </c>
      <c r="Z207" s="237">
        <f t="shared" si="300"/>
        <v>17</v>
      </c>
      <c r="AA207" s="238" t="s">
        <v>4</v>
      </c>
      <c r="AB207" s="238">
        <f t="shared" ref="AB207" si="390">P207</f>
        <v>216</v>
      </c>
      <c r="AC207" s="239" t="str">
        <f>R207</f>
        <v>همبر 90% گوشت ذغالی بدون نان</v>
      </c>
      <c r="AD207" s="26" t="s">
        <v>11</v>
      </c>
      <c r="AE207" s="27" t="s">
        <v>12</v>
      </c>
      <c r="AF207" s="28" t="s">
        <v>13</v>
      </c>
      <c r="AG207" s="29" t="s">
        <v>4</v>
      </c>
    </row>
    <row r="208" spans="1:33" ht="12.75" customHeight="1">
      <c r="A208" s="144" t="s">
        <v>269</v>
      </c>
      <c r="B208" s="144">
        <v>1</v>
      </c>
      <c r="C208" s="144" t="s">
        <v>89</v>
      </c>
      <c r="D208" s="145">
        <f t="shared" ref="D208" si="391">B208</f>
        <v>1</v>
      </c>
      <c r="E208" s="146">
        <f>B208*480</f>
        <v>480</v>
      </c>
      <c r="F208" s="147"/>
      <c r="G208" s="148"/>
      <c r="H208" s="148"/>
      <c r="I208" s="148"/>
      <c r="J208" s="148"/>
      <c r="K208" s="148"/>
      <c r="L208" s="149"/>
      <c r="M208" s="9" t="s">
        <v>11</v>
      </c>
      <c r="N208" s="9" t="s">
        <v>12</v>
      </c>
      <c r="O208" s="9" t="s">
        <v>13</v>
      </c>
      <c r="P208" s="9" t="s">
        <v>4</v>
      </c>
      <c r="R208" s="236"/>
      <c r="S208" s="232"/>
      <c r="T208" s="230"/>
      <c r="U208" s="232"/>
      <c r="V208" s="230"/>
      <c r="W208" s="232"/>
      <c r="X208" s="230"/>
      <c r="Y208" s="232"/>
      <c r="Z208" s="230"/>
      <c r="AA208" s="232"/>
      <c r="AB208" s="232"/>
      <c r="AC208" s="234"/>
      <c r="AD208" s="26">
        <f>VLOOKUP(AC209,R209:AB210,5,0)</f>
        <v>18</v>
      </c>
      <c r="AE208" s="27">
        <f>VLOOKUP(AC209,R209:AB210,7,0)</f>
        <v>50</v>
      </c>
      <c r="AF208" s="28">
        <f>VLOOKUP(AC209,R209:AB210,9,0)</f>
        <v>10</v>
      </c>
      <c r="AG208" s="29">
        <f>VLOOKUP(AC209,R209:AB210,11,0)</f>
        <v>480</v>
      </c>
    </row>
    <row r="209" spans="1:33" ht="12.75" customHeight="1">
      <c r="A209" s="28" t="s">
        <v>0</v>
      </c>
      <c r="B209" s="28" t="s">
        <v>1</v>
      </c>
      <c r="C209" s="28" t="s">
        <v>2</v>
      </c>
      <c r="D209" s="28" t="s">
        <v>3</v>
      </c>
      <c r="E209" s="150" t="s">
        <v>4</v>
      </c>
      <c r="F209" s="151"/>
      <c r="G209" s="152"/>
      <c r="H209" s="152"/>
      <c r="I209" s="152"/>
      <c r="J209" s="152"/>
      <c r="K209" s="152"/>
      <c r="L209" s="153"/>
      <c r="M209" s="9">
        <f>B208*18</f>
        <v>18</v>
      </c>
      <c r="N209" s="9">
        <f>B208*50</f>
        <v>50</v>
      </c>
      <c r="O209" s="9">
        <f>B208*10</f>
        <v>10</v>
      </c>
      <c r="P209" s="9">
        <f>B208*480</f>
        <v>480</v>
      </c>
      <c r="R209" s="241" t="str">
        <f>A208</f>
        <v>ساندویچ همبرگر آماده</v>
      </c>
      <c r="S209" s="238" t="s">
        <v>1</v>
      </c>
      <c r="T209" s="237">
        <f>B208</f>
        <v>1</v>
      </c>
      <c r="U209" s="238" t="s">
        <v>23</v>
      </c>
      <c r="V209" s="237">
        <f t="shared" si="322"/>
        <v>18</v>
      </c>
      <c r="W209" s="238" t="s">
        <v>24</v>
      </c>
      <c r="X209" s="237">
        <f t="shared" ref="X209" si="392">N209</f>
        <v>50</v>
      </c>
      <c r="Y209" s="238" t="s">
        <v>13</v>
      </c>
      <c r="Z209" s="237">
        <f t="shared" si="305"/>
        <v>10</v>
      </c>
      <c r="AA209" s="238" t="s">
        <v>4</v>
      </c>
      <c r="AB209" s="238">
        <f t="shared" ref="AB209" si="393">P209</f>
        <v>480</v>
      </c>
      <c r="AC209" s="239" t="str">
        <f>R209</f>
        <v>ساندویچ همبرگر آماده</v>
      </c>
      <c r="AD209" s="26" t="s">
        <v>11</v>
      </c>
      <c r="AE209" s="27" t="s">
        <v>12</v>
      </c>
      <c r="AF209" s="28" t="s">
        <v>13</v>
      </c>
      <c r="AG209" s="29" t="s">
        <v>4</v>
      </c>
    </row>
    <row r="210" spans="1:33" ht="12.75" customHeight="1">
      <c r="A210" s="28" t="s">
        <v>270</v>
      </c>
      <c r="B210" s="28">
        <v>100</v>
      </c>
      <c r="C210" s="28" t="s">
        <v>89</v>
      </c>
      <c r="D210" s="28">
        <f t="shared" ref="D210" si="394">B210</f>
        <v>100</v>
      </c>
      <c r="E210" s="150">
        <f>B210*0.15</f>
        <v>15</v>
      </c>
      <c r="F210" s="151"/>
      <c r="G210" s="152"/>
      <c r="H210" s="152"/>
      <c r="I210" s="152"/>
      <c r="J210" s="152"/>
      <c r="K210" s="152"/>
      <c r="L210" s="153"/>
      <c r="M210" s="9" t="s">
        <v>11</v>
      </c>
      <c r="N210" s="9" t="s">
        <v>12</v>
      </c>
      <c r="O210" s="9" t="s">
        <v>13</v>
      </c>
      <c r="P210" s="9" t="s">
        <v>4</v>
      </c>
      <c r="R210" s="236"/>
      <c r="S210" s="232"/>
      <c r="T210" s="230"/>
      <c r="U210" s="232"/>
      <c r="V210" s="230"/>
      <c r="W210" s="232"/>
      <c r="X210" s="230"/>
      <c r="Y210" s="232"/>
      <c r="Z210" s="230"/>
      <c r="AA210" s="232"/>
      <c r="AB210" s="232"/>
      <c r="AC210" s="234"/>
      <c r="AD210" s="26">
        <f>VLOOKUP(AC211,R211:AB212,5,0)</f>
        <v>1</v>
      </c>
      <c r="AE210" s="27">
        <f>VLOOKUP(AC211,R211:AB212,7,0)</f>
        <v>3.5999999999999996</v>
      </c>
      <c r="AF210" s="28">
        <f>VLOOKUP(AC211,R211:AB212,9,0)</f>
        <v>0.1</v>
      </c>
      <c r="AG210" s="29">
        <f>VLOOKUP(AC211,R211:AB212,11,0)</f>
        <v>15</v>
      </c>
    </row>
    <row r="211" spans="1:33" ht="12.75" customHeight="1">
      <c r="A211" s="28" t="s">
        <v>0</v>
      </c>
      <c r="B211" s="28" t="s">
        <v>1</v>
      </c>
      <c r="C211" s="28" t="s">
        <v>2</v>
      </c>
      <c r="D211" s="28" t="s">
        <v>3</v>
      </c>
      <c r="E211" s="150" t="s">
        <v>4</v>
      </c>
      <c r="F211" s="151"/>
      <c r="G211" s="152"/>
      <c r="H211" s="152"/>
      <c r="I211" s="152"/>
      <c r="J211" s="152"/>
      <c r="K211" s="152"/>
      <c r="L211" s="153"/>
      <c r="M211" s="21">
        <f>B210*0.01</f>
        <v>1</v>
      </c>
      <c r="N211" s="21">
        <f>B210*0.036</f>
        <v>3.5999999999999996</v>
      </c>
      <c r="O211" s="21">
        <f>B210*0.001</f>
        <v>0.1</v>
      </c>
      <c r="P211" s="21">
        <f>B210*0.15</f>
        <v>15</v>
      </c>
      <c r="R211" s="241" t="str">
        <f>A210</f>
        <v>خیار</v>
      </c>
      <c r="S211" s="238" t="s">
        <v>1</v>
      </c>
      <c r="T211" s="237">
        <f>B210</f>
        <v>100</v>
      </c>
      <c r="U211" s="238" t="s">
        <v>23</v>
      </c>
      <c r="V211" s="237">
        <f>M211</f>
        <v>1</v>
      </c>
      <c r="W211" s="238" t="s">
        <v>24</v>
      </c>
      <c r="X211" s="237">
        <f t="shared" ref="X211" si="395">N211</f>
        <v>3.5999999999999996</v>
      </c>
      <c r="Y211" s="238" t="s">
        <v>13</v>
      </c>
      <c r="Z211" s="237">
        <f t="shared" si="310"/>
        <v>0.1</v>
      </c>
      <c r="AA211" s="238" t="s">
        <v>4</v>
      </c>
      <c r="AB211" s="238">
        <f t="shared" ref="AB211" si="396">P211</f>
        <v>15</v>
      </c>
      <c r="AC211" s="239" t="str">
        <f>R211</f>
        <v>خیار</v>
      </c>
      <c r="AD211" s="26" t="s">
        <v>11</v>
      </c>
      <c r="AE211" s="27" t="s">
        <v>12</v>
      </c>
      <c r="AF211" s="28" t="s">
        <v>13</v>
      </c>
      <c r="AG211" s="29" t="s">
        <v>4</v>
      </c>
    </row>
    <row r="212" spans="1:33" ht="12.75" customHeight="1">
      <c r="A212" s="28" t="s">
        <v>9</v>
      </c>
      <c r="B212" s="28">
        <v>100</v>
      </c>
      <c r="C212" s="28" t="s">
        <v>89</v>
      </c>
      <c r="D212" s="28">
        <f t="shared" ref="D212" si="397">B212</f>
        <v>100</v>
      </c>
      <c r="E212" s="150">
        <f>B212*0.15</f>
        <v>15</v>
      </c>
      <c r="F212" s="151"/>
      <c r="G212" s="152"/>
      <c r="H212" s="152"/>
      <c r="I212" s="152"/>
      <c r="J212" s="152"/>
      <c r="K212" s="152"/>
      <c r="L212" s="153"/>
      <c r="M212" s="9" t="s">
        <v>11</v>
      </c>
      <c r="N212" s="9" t="s">
        <v>12</v>
      </c>
      <c r="O212" s="9" t="s">
        <v>13</v>
      </c>
      <c r="P212" s="9" t="s">
        <v>4</v>
      </c>
      <c r="R212" s="236"/>
      <c r="S212" s="232"/>
      <c r="T212" s="230"/>
      <c r="U212" s="232"/>
      <c r="V212" s="230"/>
      <c r="W212" s="232"/>
      <c r="X212" s="230"/>
      <c r="Y212" s="232"/>
      <c r="Z212" s="230"/>
      <c r="AA212" s="232"/>
      <c r="AB212" s="232"/>
      <c r="AC212" s="234"/>
      <c r="AD212" s="26">
        <f>VLOOKUP(AC213,R213:AB214,5,0)</f>
        <v>1</v>
      </c>
      <c r="AE212" s="27">
        <f>VLOOKUP(AC213,R213:AB214,7,0)</f>
        <v>3.5999999999999996</v>
      </c>
      <c r="AF212" s="28">
        <f>VLOOKUP(AC213,R213:AB214,9,0)</f>
        <v>0.1</v>
      </c>
      <c r="AG212" s="29">
        <f>VLOOKUP(AC213,R213:AB214,11,0)</f>
        <v>15</v>
      </c>
    </row>
    <row r="213" spans="1:33" ht="12.75" customHeight="1">
      <c r="A213" s="28" t="s">
        <v>0</v>
      </c>
      <c r="B213" s="28" t="s">
        <v>1</v>
      </c>
      <c r="C213" s="28" t="s">
        <v>2</v>
      </c>
      <c r="D213" s="28" t="s">
        <v>3</v>
      </c>
      <c r="E213" s="150" t="s">
        <v>4</v>
      </c>
      <c r="F213" s="151"/>
      <c r="G213" s="152"/>
      <c r="H213" s="152"/>
      <c r="I213" s="152"/>
      <c r="J213" s="152"/>
      <c r="K213" s="152"/>
      <c r="L213" s="153"/>
      <c r="M213" s="21">
        <f>B212*0.01</f>
        <v>1</v>
      </c>
      <c r="N213" s="21">
        <f>B212*0.036</f>
        <v>3.5999999999999996</v>
      </c>
      <c r="O213" s="21">
        <f>B212*0.001</f>
        <v>0.1</v>
      </c>
      <c r="P213" s="21">
        <f>B212*0.15</f>
        <v>15</v>
      </c>
      <c r="R213" s="241" t="str">
        <f>A212</f>
        <v>گوجه</v>
      </c>
      <c r="S213" s="238" t="s">
        <v>1</v>
      </c>
      <c r="T213" s="237">
        <f>B212</f>
        <v>100</v>
      </c>
      <c r="U213" s="238" t="s">
        <v>23</v>
      </c>
      <c r="V213" s="237">
        <f t="shared" ref="V213" si="398">M213</f>
        <v>1</v>
      </c>
      <c r="W213" s="238" t="s">
        <v>24</v>
      </c>
      <c r="X213" s="237">
        <f t="shared" ref="X213" si="399">N213</f>
        <v>3.5999999999999996</v>
      </c>
      <c r="Y213" s="238" t="s">
        <v>13</v>
      </c>
      <c r="Z213" s="237">
        <f t="shared" ref="Z213" si="400">O213</f>
        <v>0.1</v>
      </c>
      <c r="AA213" s="238" t="s">
        <v>4</v>
      </c>
      <c r="AB213" s="238">
        <f t="shared" ref="AB213" si="401">P213</f>
        <v>15</v>
      </c>
      <c r="AC213" s="238" t="s">
        <v>9</v>
      </c>
      <c r="AD213" s="26" t="s">
        <v>11</v>
      </c>
      <c r="AE213" s="27" t="s">
        <v>12</v>
      </c>
      <c r="AF213" s="28" t="s">
        <v>13</v>
      </c>
      <c r="AG213" s="29" t="s">
        <v>4</v>
      </c>
    </row>
    <row r="214" spans="1:33" ht="12.75" customHeight="1">
      <c r="A214" s="28" t="s">
        <v>148</v>
      </c>
      <c r="B214" s="28">
        <v>100</v>
      </c>
      <c r="C214" s="28" t="s">
        <v>89</v>
      </c>
      <c r="D214" s="28">
        <f t="shared" ref="D214" si="402">B214</f>
        <v>100</v>
      </c>
      <c r="E214" s="150">
        <f>P215</f>
        <v>28.000000000000004</v>
      </c>
      <c r="F214" s="151"/>
      <c r="G214" s="152"/>
      <c r="H214" s="152"/>
      <c r="I214" s="152"/>
      <c r="J214" s="152"/>
      <c r="K214" s="152"/>
      <c r="L214" s="153"/>
      <c r="M214" s="9" t="s">
        <v>11</v>
      </c>
      <c r="N214" s="9" t="s">
        <v>12</v>
      </c>
      <c r="O214" s="9" t="s">
        <v>13</v>
      </c>
      <c r="P214" s="9" t="s">
        <v>4</v>
      </c>
      <c r="R214" s="236"/>
      <c r="S214" s="232"/>
      <c r="T214" s="230"/>
      <c r="U214" s="232"/>
      <c r="V214" s="230"/>
      <c r="W214" s="232"/>
      <c r="X214" s="230"/>
      <c r="Y214" s="232"/>
      <c r="Z214" s="230"/>
      <c r="AA214" s="232"/>
      <c r="AB214" s="232"/>
      <c r="AC214" s="232"/>
      <c r="AD214" s="26" t="e">
        <f>VLOOKUP(AC215,R215:AB216,5,0)</f>
        <v>#N/A</v>
      </c>
      <c r="AE214" s="27" t="e">
        <f>VLOOKUP(AC215,R215:AB216,7,0)</f>
        <v>#N/A</v>
      </c>
      <c r="AF214" s="28" t="e">
        <f>VLOOKUP(AC215,R215:AB216,9,0)</f>
        <v>#N/A</v>
      </c>
      <c r="AG214" s="29" t="e">
        <f>VLOOKUP(AC215,R215:AB216,11,0)</f>
        <v>#N/A</v>
      </c>
    </row>
    <row r="215" spans="1:33" ht="15" customHeight="1">
      <c r="A215" s="28" t="s">
        <v>0</v>
      </c>
      <c r="B215" s="28" t="s">
        <v>1</v>
      </c>
      <c r="C215" s="28" t="s">
        <v>2</v>
      </c>
      <c r="D215" s="28" t="s">
        <v>3</v>
      </c>
      <c r="E215" s="150" t="s">
        <v>4</v>
      </c>
      <c r="F215" s="151"/>
      <c r="G215" s="152"/>
      <c r="H215" s="152"/>
      <c r="I215" s="152"/>
      <c r="J215" s="152"/>
      <c r="K215" s="152"/>
      <c r="L215" s="153"/>
      <c r="M215" s="154">
        <f>B214*0.03</f>
        <v>3</v>
      </c>
      <c r="N215" s="154">
        <f>B214*0.03</f>
        <v>3</v>
      </c>
      <c r="O215" s="154">
        <v>0</v>
      </c>
      <c r="P215" s="154">
        <f>B214*0.28</f>
        <v>28.000000000000004</v>
      </c>
      <c r="R215" s="241" t="str">
        <f>A214</f>
        <v xml:space="preserve">سبزی </v>
      </c>
      <c r="S215" s="238" t="s">
        <v>1</v>
      </c>
      <c r="T215" s="237">
        <f>B214</f>
        <v>100</v>
      </c>
      <c r="U215" s="238" t="s">
        <v>23</v>
      </c>
      <c r="V215" s="237">
        <f t="shared" ref="V215" si="403">M215</f>
        <v>3</v>
      </c>
      <c r="W215" s="238" t="s">
        <v>24</v>
      </c>
      <c r="X215" s="237">
        <f t="shared" ref="X215" si="404">N215</f>
        <v>3</v>
      </c>
      <c r="Y215" s="238" t="s">
        <v>13</v>
      </c>
      <c r="Z215" s="237">
        <f t="shared" ref="Z215" si="405">O215</f>
        <v>0</v>
      </c>
      <c r="AA215" s="238" t="s">
        <v>4</v>
      </c>
      <c r="AB215" s="238">
        <f t="shared" ref="AB215" si="406">P215</f>
        <v>28.000000000000004</v>
      </c>
      <c r="AC215" s="239" t="s">
        <v>88</v>
      </c>
      <c r="AD215" s="26" t="s">
        <v>11</v>
      </c>
      <c r="AE215" s="27" t="s">
        <v>12</v>
      </c>
      <c r="AF215" s="28" t="s">
        <v>13</v>
      </c>
      <c r="AG215" s="29" t="s">
        <v>4</v>
      </c>
    </row>
    <row r="216" spans="1:33" ht="15" customHeight="1">
      <c r="A216" s="28" t="s">
        <v>271</v>
      </c>
      <c r="B216" s="28">
        <v>100</v>
      </c>
      <c r="C216" s="28" t="s">
        <v>89</v>
      </c>
      <c r="D216" s="28">
        <f t="shared" ref="D216" si="407">B216</f>
        <v>100</v>
      </c>
      <c r="E216" s="150">
        <f>P217</f>
        <v>10</v>
      </c>
      <c r="F216" s="151"/>
      <c r="G216" s="152"/>
      <c r="H216" s="152"/>
      <c r="I216" s="152"/>
      <c r="J216" s="152"/>
      <c r="K216" s="152"/>
      <c r="L216" s="153"/>
      <c r="M216" s="9" t="s">
        <v>11</v>
      </c>
      <c r="N216" s="9" t="s">
        <v>12</v>
      </c>
      <c r="O216" s="9" t="s">
        <v>13</v>
      </c>
      <c r="P216" s="9" t="s">
        <v>4</v>
      </c>
      <c r="R216" s="236"/>
      <c r="S216" s="232"/>
      <c r="T216" s="230"/>
      <c r="U216" s="232"/>
      <c r="V216" s="230"/>
      <c r="W216" s="232"/>
      <c r="X216" s="230"/>
      <c r="Y216" s="232"/>
      <c r="Z216" s="230"/>
      <c r="AA216" s="232"/>
      <c r="AB216" s="232"/>
      <c r="AC216" s="234"/>
      <c r="AD216" s="26">
        <f>VLOOKUP(AC217,R217:AB218,5,0)</f>
        <v>2.9000000000000004</v>
      </c>
      <c r="AE216" s="27">
        <f>VLOOKUP(AC217,R217:AB218,7,0)</f>
        <v>21</v>
      </c>
      <c r="AF216" s="28">
        <f>VLOOKUP(AC217,R217:AB218,9,0)</f>
        <v>0</v>
      </c>
      <c r="AG216" s="29">
        <f>VLOOKUP(AC217,R217:AB218,11,0)</f>
        <v>10</v>
      </c>
    </row>
    <row r="217" spans="1:33" ht="15" customHeight="1">
      <c r="A217" s="28" t="s">
        <v>0</v>
      </c>
      <c r="B217" s="28" t="s">
        <v>1</v>
      </c>
      <c r="C217" s="28" t="s">
        <v>2</v>
      </c>
      <c r="D217" s="28" t="s">
        <v>3</v>
      </c>
      <c r="E217" s="150" t="s">
        <v>4</v>
      </c>
      <c r="F217" s="151"/>
      <c r="G217" s="152"/>
      <c r="H217" s="152"/>
      <c r="I217" s="152"/>
      <c r="J217" s="152"/>
      <c r="K217" s="152"/>
      <c r="L217" s="153"/>
      <c r="M217" s="9">
        <f>B216*0.029</f>
        <v>2.9000000000000004</v>
      </c>
      <c r="N217" s="9">
        <f>B216*0.21</f>
        <v>21</v>
      </c>
      <c r="O217" s="9">
        <v>0</v>
      </c>
      <c r="P217" s="9">
        <f>B216*0.1</f>
        <v>10</v>
      </c>
      <c r="R217" s="241" t="str">
        <f>A216</f>
        <v>کاهو</v>
      </c>
      <c r="S217" s="238" t="s">
        <v>1</v>
      </c>
      <c r="T217" s="237">
        <f>B216</f>
        <v>100</v>
      </c>
      <c r="U217" s="238" t="s">
        <v>23</v>
      </c>
      <c r="V217" s="237">
        <f t="shared" ref="V217" si="408">M217</f>
        <v>2.9000000000000004</v>
      </c>
      <c r="W217" s="238" t="s">
        <v>24</v>
      </c>
      <c r="X217" s="237">
        <f t="shared" ref="X217" si="409">N217</f>
        <v>21</v>
      </c>
      <c r="Y217" s="238" t="s">
        <v>13</v>
      </c>
      <c r="Z217" s="237">
        <f t="shared" ref="Z217" si="410">O217</f>
        <v>0</v>
      </c>
      <c r="AA217" s="238" t="s">
        <v>4</v>
      </c>
      <c r="AB217" s="238">
        <f t="shared" ref="AB217" si="411">P217</f>
        <v>10</v>
      </c>
      <c r="AC217" s="239" t="s">
        <v>271</v>
      </c>
      <c r="AD217" s="26" t="s">
        <v>11</v>
      </c>
      <c r="AE217" s="27" t="s">
        <v>12</v>
      </c>
      <c r="AF217" s="28" t="s">
        <v>13</v>
      </c>
      <c r="AG217" s="29" t="s">
        <v>4</v>
      </c>
    </row>
    <row r="218" spans="1:33" ht="15" customHeight="1">
      <c r="A218" s="28" t="s">
        <v>272</v>
      </c>
      <c r="B218" s="28">
        <v>100</v>
      </c>
      <c r="C218" s="28" t="s">
        <v>89</v>
      </c>
      <c r="D218" s="28">
        <f t="shared" ref="D218" si="412">B218</f>
        <v>100</v>
      </c>
      <c r="E218" s="150">
        <f>P219</f>
        <v>35</v>
      </c>
      <c r="F218" s="151"/>
      <c r="G218" s="152"/>
      <c r="H218" s="152"/>
      <c r="I218" s="152"/>
      <c r="J218" s="152"/>
      <c r="K218" s="152"/>
      <c r="L218" s="153"/>
      <c r="M218" s="9" t="s">
        <v>11</v>
      </c>
      <c r="N218" s="9" t="s">
        <v>12</v>
      </c>
      <c r="O218" s="9" t="s">
        <v>13</v>
      </c>
      <c r="P218" s="9" t="s">
        <v>4</v>
      </c>
      <c r="R218" s="236"/>
      <c r="S218" s="232"/>
      <c r="T218" s="230"/>
      <c r="U218" s="232"/>
      <c r="V218" s="230"/>
      <c r="W218" s="232"/>
      <c r="X218" s="230"/>
      <c r="Y218" s="232"/>
      <c r="Z218" s="230"/>
      <c r="AA218" s="232"/>
      <c r="AB218" s="232"/>
      <c r="AC218" s="234"/>
      <c r="AD218" s="26">
        <f>VLOOKUP(AC219,R219:AB220,5,0)</f>
        <v>0.8</v>
      </c>
      <c r="AE218" s="27">
        <f>VLOOKUP(AC219,R219:AB220,7,0)</f>
        <v>8.2000000000000011</v>
      </c>
      <c r="AF218" s="28">
        <f>VLOOKUP(AC219,R219:AB220,9,0)</f>
        <v>0</v>
      </c>
      <c r="AG218" s="29">
        <f>VLOOKUP(AC219,R219:AB220,11,0)</f>
        <v>35</v>
      </c>
    </row>
    <row r="219" spans="1:33" ht="12.75" customHeight="1">
      <c r="A219" s="28" t="s">
        <v>0</v>
      </c>
      <c r="B219" s="28" t="s">
        <v>1</v>
      </c>
      <c r="C219" s="28" t="s">
        <v>2</v>
      </c>
      <c r="D219" s="28" t="s">
        <v>3</v>
      </c>
      <c r="E219" s="150" t="s">
        <v>4</v>
      </c>
      <c r="F219" s="151" t="s">
        <v>271</v>
      </c>
      <c r="G219" s="152" t="s">
        <v>273</v>
      </c>
      <c r="H219" s="152" t="s">
        <v>47</v>
      </c>
      <c r="I219" s="152" t="s">
        <v>9</v>
      </c>
      <c r="J219" s="152" t="s">
        <v>270</v>
      </c>
      <c r="K219" s="152"/>
      <c r="L219" s="153"/>
      <c r="M219" s="21">
        <f>B218*0.008</f>
        <v>0.8</v>
      </c>
      <c r="N219" s="21">
        <f>B218*0.082</f>
        <v>8.2000000000000011</v>
      </c>
      <c r="O219" s="21">
        <v>0</v>
      </c>
      <c r="P219" s="21">
        <f>B218*0.35</f>
        <v>35</v>
      </c>
      <c r="R219" s="241" t="str">
        <f>A218</f>
        <v xml:space="preserve">هویج </v>
      </c>
      <c r="S219" s="238" t="s">
        <v>1</v>
      </c>
      <c r="T219" s="237">
        <f>B218</f>
        <v>100</v>
      </c>
      <c r="U219" s="238" t="s">
        <v>23</v>
      </c>
      <c r="V219" s="237">
        <f t="shared" si="330"/>
        <v>0.8</v>
      </c>
      <c r="W219" s="238" t="s">
        <v>24</v>
      </c>
      <c r="X219" s="237">
        <f t="shared" ref="X219" si="413">N219</f>
        <v>8.2000000000000011</v>
      </c>
      <c r="Y219" s="238" t="s">
        <v>13</v>
      </c>
      <c r="Z219" s="237">
        <f t="shared" si="315"/>
        <v>0</v>
      </c>
      <c r="AA219" s="238" t="s">
        <v>4</v>
      </c>
      <c r="AB219" s="238">
        <f t="shared" ref="AB219" si="414">P219</f>
        <v>35</v>
      </c>
      <c r="AC219" s="239" t="str">
        <f>R219</f>
        <v xml:space="preserve">هویج </v>
      </c>
      <c r="AD219" s="26" t="s">
        <v>11</v>
      </c>
      <c r="AE219" s="27" t="s">
        <v>12</v>
      </c>
      <c r="AF219" s="28" t="s">
        <v>13</v>
      </c>
      <c r="AG219" s="29" t="s">
        <v>4</v>
      </c>
    </row>
    <row r="220" spans="1:33" ht="12.75" customHeight="1">
      <c r="A220" s="28" t="s">
        <v>274</v>
      </c>
      <c r="B220" s="28">
        <v>200</v>
      </c>
      <c r="C220" s="28" t="s">
        <v>89</v>
      </c>
      <c r="D220" s="28">
        <f t="shared" ref="D220" si="415">B220</f>
        <v>200</v>
      </c>
      <c r="E220" s="150">
        <f>B220/2.032</f>
        <v>98.425196850393704</v>
      </c>
      <c r="F220" s="151">
        <f>B220/3.15</f>
        <v>63.492063492063494</v>
      </c>
      <c r="G220" s="152">
        <f>B220/4.2</f>
        <v>47.61904761904762</v>
      </c>
      <c r="H220" s="152">
        <f>B220/18.9</f>
        <v>10.582010582010582</v>
      </c>
      <c r="I220" s="152">
        <f>B220/6.872</f>
        <v>29.103608847497089</v>
      </c>
      <c r="J220" s="152">
        <f>B220/3.78</f>
        <v>52.910052910052912</v>
      </c>
      <c r="K220" s="152"/>
      <c r="L220" s="153"/>
      <c r="M220" s="9" t="s">
        <v>11</v>
      </c>
      <c r="N220" s="9" t="s">
        <v>12</v>
      </c>
      <c r="O220" s="9" t="s">
        <v>13</v>
      </c>
      <c r="P220" s="9" t="s">
        <v>4</v>
      </c>
      <c r="R220" s="236"/>
      <c r="S220" s="232"/>
      <c r="T220" s="230"/>
      <c r="U220" s="232"/>
      <c r="V220" s="230"/>
      <c r="W220" s="232"/>
      <c r="X220" s="230"/>
      <c r="Y220" s="232"/>
      <c r="Z220" s="230"/>
      <c r="AA220" s="232"/>
      <c r="AB220" s="232"/>
      <c r="AC220" s="234"/>
      <c r="AD220" s="26">
        <f>VLOOKUP(AC221,R221:AB222,5,0)</f>
        <v>3.4656392630781454</v>
      </c>
      <c r="AE220" s="27">
        <f>VLOOKUP(AC221,R221:AB222,7,0)</f>
        <v>7.8043867915812033</v>
      </c>
      <c r="AF220" s="28">
        <f>VLOOKUP(AC221,R221:AB222,9,0)</f>
        <v>2.3809523809523809</v>
      </c>
      <c r="AG220" s="29">
        <f>VLOOKUP(AC221,R221:AB222,11,0)</f>
        <v>98.545743481715547</v>
      </c>
    </row>
    <row r="221" spans="1:33" ht="12.75" customHeight="1">
      <c r="A221" s="28" t="s">
        <v>0</v>
      </c>
      <c r="B221" s="28" t="s">
        <v>1</v>
      </c>
      <c r="C221" s="28" t="s">
        <v>2</v>
      </c>
      <c r="D221" s="28" t="s">
        <v>3</v>
      </c>
      <c r="E221" s="150" t="s">
        <v>4</v>
      </c>
      <c r="F221" s="151" t="s">
        <v>271</v>
      </c>
      <c r="G221" s="152" t="s">
        <v>270</v>
      </c>
      <c r="H221" s="152" t="s">
        <v>9</v>
      </c>
      <c r="I221" s="152" t="s">
        <v>275</v>
      </c>
      <c r="J221" s="152" t="s">
        <v>235</v>
      </c>
      <c r="K221" s="152" t="s">
        <v>276</v>
      </c>
      <c r="L221" s="153" t="s">
        <v>277</v>
      </c>
      <c r="M221" s="21">
        <f>F220/100*1+G220/100*4+H220/100*1+I220/100*1+J220/100*1</f>
        <v>3.4656392630781454</v>
      </c>
      <c r="N221" s="21">
        <f>F220/100*5+H220/100*5+I220/100*5+J220/100*5</f>
        <v>7.8043867915812033</v>
      </c>
      <c r="O221" s="21">
        <f>G220/100*5</f>
        <v>2.3809523809523809</v>
      </c>
      <c r="P221" s="21">
        <f>F220/100*11+G220/100*155+H220/100*44+I220/100*25+J220/100*11</f>
        <v>98.545743481715547</v>
      </c>
      <c r="R221" s="241" t="str">
        <f>A220</f>
        <v>سالاد مرغ و سبزیجات</v>
      </c>
      <c r="S221" s="238" t="s">
        <v>1</v>
      </c>
      <c r="T221" s="237">
        <f>B220</f>
        <v>200</v>
      </c>
      <c r="U221" s="238" t="s">
        <v>23</v>
      </c>
      <c r="V221" s="237">
        <f>M221</f>
        <v>3.4656392630781454</v>
      </c>
      <c r="W221" s="238" t="s">
        <v>24</v>
      </c>
      <c r="X221" s="237">
        <f t="shared" ref="X221" si="416">N221</f>
        <v>7.8043867915812033</v>
      </c>
      <c r="Y221" s="238" t="s">
        <v>13</v>
      </c>
      <c r="Z221" s="237">
        <f t="shared" ref="Z221" si="417">O221</f>
        <v>2.3809523809523809</v>
      </c>
      <c r="AA221" s="238" t="s">
        <v>4</v>
      </c>
      <c r="AB221" s="238">
        <f t="shared" ref="AB221" si="418">P221</f>
        <v>98.545743481715547</v>
      </c>
      <c r="AC221" s="239" t="str">
        <f>R221</f>
        <v>سالاد مرغ و سبزیجات</v>
      </c>
      <c r="AD221" s="26" t="s">
        <v>11</v>
      </c>
      <c r="AE221" s="27" t="s">
        <v>12</v>
      </c>
      <c r="AF221" s="28" t="s">
        <v>13</v>
      </c>
      <c r="AG221" s="29" t="s">
        <v>4</v>
      </c>
    </row>
    <row r="222" spans="1:33" ht="12.75" customHeight="1">
      <c r="A222" s="28" t="s">
        <v>278</v>
      </c>
      <c r="B222" s="28">
        <v>100</v>
      </c>
      <c r="C222" s="28" t="s">
        <v>89</v>
      </c>
      <c r="D222" s="28">
        <f t="shared" ref="D222" si="419">B222</f>
        <v>100</v>
      </c>
      <c r="E222" s="150">
        <f>B222/1.002</f>
        <v>99.800399201596804</v>
      </c>
      <c r="F222" s="151">
        <f>B222/4.56</f>
        <v>21.92982456140351</v>
      </c>
      <c r="G222" s="152">
        <f>B222/5.36</f>
        <v>18.656716417910445</v>
      </c>
      <c r="H222" s="152">
        <f>B222/5.36</f>
        <v>18.656716417910445</v>
      </c>
      <c r="I222" s="152">
        <f>B222/11.4</f>
        <v>8.7719298245614024</v>
      </c>
      <c r="J222" s="152">
        <f>B222/3.61</f>
        <v>27.70083102493075</v>
      </c>
      <c r="K222" s="152">
        <f>B222/45.6</f>
        <v>2.1929824561403506</v>
      </c>
      <c r="L222" s="153">
        <f>B222/45.6</f>
        <v>2.1929824561403506</v>
      </c>
      <c r="M222" s="9" t="s">
        <v>11</v>
      </c>
      <c r="N222" s="9" t="s">
        <v>12</v>
      </c>
      <c r="O222" s="9" t="s">
        <v>13</v>
      </c>
      <c r="P222" s="9" t="s">
        <v>4</v>
      </c>
      <c r="R222" s="236"/>
      <c r="S222" s="232"/>
      <c r="T222" s="230"/>
      <c r="U222" s="232"/>
      <c r="V222" s="230"/>
      <c r="W222" s="232"/>
      <c r="X222" s="230"/>
      <c r="Y222" s="232"/>
      <c r="Z222" s="230"/>
      <c r="AA222" s="232"/>
      <c r="AB222" s="232"/>
      <c r="AC222" s="234"/>
      <c r="AD222" s="26">
        <f>VLOOKUP(AC223,R223:AB224,5,0)</f>
        <v>4.1381389451633801</v>
      </c>
      <c r="AE222" s="27">
        <f>VLOOKUP(AC223,R223:AB224,7,0)</f>
        <v>8.1699191025481994</v>
      </c>
      <c r="AF222" s="28">
        <f>VLOOKUP(AC223,R223:AB224,9,0)</f>
        <v>3.9435210834102801</v>
      </c>
      <c r="AG222" s="29">
        <f>VLOOKUP(AC223,R223:AB224,11,0)</f>
        <v>99.800399201596804</v>
      </c>
    </row>
    <row r="223" spans="1:33" ht="12.75" customHeight="1">
      <c r="A223" s="28" t="s">
        <v>0</v>
      </c>
      <c r="B223" s="28" t="s">
        <v>1</v>
      </c>
      <c r="C223" s="28" t="s">
        <v>2</v>
      </c>
      <c r="D223" s="28" t="s">
        <v>3</v>
      </c>
      <c r="E223" s="150" t="s">
        <v>4</v>
      </c>
      <c r="F223" s="151" t="s">
        <v>194</v>
      </c>
      <c r="G223" s="152" t="s">
        <v>279</v>
      </c>
      <c r="H223" s="152" t="s">
        <v>270</v>
      </c>
      <c r="I223" s="152" t="s">
        <v>9</v>
      </c>
      <c r="J223" s="152"/>
      <c r="K223" s="152"/>
      <c r="L223" s="153"/>
      <c r="M223" s="21">
        <f>F222/100*1+G222/100*1+H222/100*1+I222/100*12+J222/100*9</f>
        <v>4.1381389451633801</v>
      </c>
      <c r="N223" s="21">
        <f>F222/100*5+G222/100*5+H222/100*5+I222/100*12+J222/100*15</f>
        <v>8.1699191025481994</v>
      </c>
      <c r="O223" s="21">
        <f>+I222/30*5+J222/100*5+K222/10*5</f>
        <v>3.9435210834102801</v>
      </c>
      <c r="P223" s="21">
        <f>E222</f>
        <v>99.800399201596804</v>
      </c>
      <c r="R223" s="241" t="str">
        <f>A222</f>
        <v>سالاد نخودفرنگی و کاهو</v>
      </c>
      <c r="S223" s="238" t="s">
        <v>1</v>
      </c>
      <c r="T223" s="237">
        <f>B222</f>
        <v>100</v>
      </c>
      <c r="U223" s="238" t="s">
        <v>23</v>
      </c>
      <c r="V223" s="237">
        <f t="shared" ref="V223" si="420">M223</f>
        <v>4.1381389451633801</v>
      </c>
      <c r="W223" s="238" t="s">
        <v>24</v>
      </c>
      <c r="X223" s="237">
        <f t="shared" ref="X223" si="421">N223</f>
        <v>8.1699191025481994</v>
      </c>
      <c r="Y223" s="238" t="s">
        <v>13</v>
      </c>
      <c r="Z223" s="237">
        <f t="shared" si="288"/>
        <v>3.9435210834102801</v>
      </c>
      <c r="AA223" s="238" t="s">
        <v>4</v>
      </c>
      <c r="AB223" s="238">
        <f t="shared" ref="AB223" si="422">P223</f>
        <v>99.800399201596804</v>
      </c>
      <c r="AC223" s="239" t="str">
        <f>R223</f>
        <v>سالاد نخودفرنگی و کاهو</v>
      </c>
      <c r="AD223" s="26" t="s">
        <v>11</v>
      </c>
      <c r="AE223" s="27" t="s">
        <v>12</v>
      </c>
      <c r="AF223" s="28" t="s">
        <v>13</v>
      </c>
      <c r="AG223" s="29" t="s">
        <v>4</v>
      </c>
    </row>
    <row r="224" spans="1:33" ht="12.75" customHeight="1">
      <c r="A224" s="28" t="s">
        <v>280</v>
      </c>
      <c r="B224" s="155">
        <v>368</v>
      </c>
      <c r="C224" s="28" t="s">
        <v>89</v>
      </c>
      <c r="D224" s="28">
        <f t="shared" ref="D224" si="423">B224</f>
        <v>368</v>
      </c>
      <c r="E224" s="150">
        <f>B224/2.913</f>
        <v>126.33024373498112</v>
      </c>
      <c r="F224" s="151">
        <f>B224/3.38</f>
        <v>108.87573964497042</v>
      </c>
      <c r="G224" s="152">
        <f>B224/4.82</f>
        <v>76.348547717842322</v>
      </c>
      <c r="H224" s="152">
        <f>B224/4.22</f>
        <v>87.203791469194314</v>
      </c>
      <c r="I224" s="152">
        <f>B224/4.22</f>
        <v>87.203791469194314</v>
      </c>
      <c r="J224" s="152"/>
      <c r="K224" s="152"/>
      <c r="L224" s="153"/>
      <c r="M224" s="9" t="s">
        <v>11</v>
      </c>
      <c r="N224" s="9" t="s">
        <v>12</v>
      </c>
      <c r="O224" s="9" t="s">
        <v>13</v>
      </c>
      <c r="P224" s="9" t="s">
        <v>4</v>
      </c>
      <c r="R224" s="236"/>
      <c r="S224" s="232"/>
      <c r="T224" s="230"/>
      <c r="U224" s="232"/>
      <c r="V224" s="230"/>
      <c r="W224" s="232"/>
      <c r="X224" s="230"/>
      <c r="Y224" s="232"/>
      <c r="Z224" s="230"/>
      <c r="AA224" s="232"/>
      <c r="AB224" s="232"/>
      <c r="AC224" s="234"/>
      <c r="AD224" s="26">
        <f>VLOOKUP(AC225,R225:AB226,5,0)</f>
        <v>22.898496512435276</v>
      </c>
      <c r="AE224" s="27">
        <f>VLOOKUP(AC225,R225:AB226,7,0)</f>
        <v>1.8524355702627666</v>
      </c>
      <c r="AF224" s="28" t="str">
        <f>VLOOKUP(AC225,R225:AB226,9,0)</f>
        <v>trace</v>
      </c>
      <c r="AG224" s="29">
        <f>VLOOKUP(AC225,R225:AB226,11,0)</f>
        <v>126.33024373498112</v>
      </c>
    </row>
    <row r="225" spans="1:33" ht="12.75" customHeight="1">
      <c r="A225" s="28" t="s">
        <v>0</v>
      </c>
      <c r="B225" s="28" t="s">
        <v>1</v>
      </c>
      <c r="C225" s="28" t="s">
        <v>2</v>
      </c>
      <c r="D225" s="28" t="s">
        <v>3</v>
      </c>
      <c r="E225" s="150" t="s">
        <v>4</v>
      </c>
      <c r="F225" s="151" t="s">
        <v>281</v>
      </c>
      <c r="G225" s="152" t="s">
        <v>279</v>
      </c>
      <c r="H225" s="152" t="s">
        <v>105</v>
      </c>
      <c r="I225" s="152" t="s">
        <v>10</v>
      </c>
      <c r="J225" s="152" t="s">
        <v>40</v>
      </c>
      <c r="K225" s="152" t="s">
        <v>282</v>
      </c>
      <c r="L225" s="153"/>
      <c r="M225" s="21">
        <f>F224/100*2.6+G224/100*24+H224/100*1+I224/100*1</f>
        <v>22.898496512435276</v>
      </c>
      <c r="N225" s="21">
        <f>F224/100*0.5+H224/100*0.5+I224/100*1</f>
        <v>1.8524355702627666</v>
      </c>
      <c r="O225" s="21" t="s">
        <v>283</v>
      </c>
      <c r="P225" s="21">
        <f>E224</f>
        <v>126.33024373498112</v>
      </c>
      <c r="R225" s="241" t="str">
        <f>A224</f>
        <v>سالاد اسفناج با تن ماهی</v>
      </c>
      <c r="S225" s="238" t="s">
        <v>1</v>
      </c>
      <c r="T225" s="237">
        <f>B224</f>
        <v>368</v>
      </c>
      <c r="U225" s="238" t="s">
        <v>23</v>
      </c>
      <c r="V225" s="237">
        <f t="shared" ref="V225" si="424">M225</f>
        <v>22.898496512435276</v>
      </c>
      <c r="W225" s="238" t="s">
        <v>24</v>
      </c>
      <c r="X225" s="237">
        <f t="shared" ref="X225" si="425">N225</f>
        <v>1.8524355702627666</v>
      </c>
      <c r="Y225" s="238" t="s">
        <v>13</v>
      </c>
      <c r="Z225" s="237" t="str">
        <f t="shared" si="292"/>
        <v>trace</v>
      </c>
      <c r="AA225" s="238" t="s">
        <v>4</v>
      </c>
      <c r="AB225" s="238">
        <f t="shared" ref="AB225" si="426">P225</f>
        <v>126.33024373498112</v>
      </c>
      <c r="AC225" s="239" t="str">
        <f>R225</f>
        <v>سالاد اسفناج با تن ماهی</v>
      </c>
      <c r="AD225" s="26" t="s">
        <v>11</v>
      </c>
      <c r="AE225" s="27" t="s">
        <v>12</v>
      </c>
      <c r="AF225" s="28" t="s">
        <v>13</v>
      </c>
      <c r="AG225" s="29" t="s">
        <v>4</v>
      </c>
    </row>
    <row r="226" spans="1:33" ht="12.75" customHeight="1">
      <c r="A226" s="28" t="s">
        <v>284</v>
      </c>
      <c r="B226" s="28">
        <v>100</v>
      </c>
      <c r="C226" s="28" t="s">
        <v>89</v>
      </c>
      <c r="D226" s="28">
        <f t="shared" ref="D226" si="427">B226</f>
        <v>100</v>
      </c>
      <c r="E226" s="150">
        <f>B226/0.59</f>
        <v>169.49152542372883</v>
      </c>
      <c r="F226" s="151">
        <f>B226/4.6</f>
        <v>21.739130434782609</v>
      </c>
      <c r="G226" s="152">
        <f>B226/3.06</f>
        <v>32.679738562091501</v>
      </c>
      <c r="H226" s="152">
        <f>B226/4.6</f>
        <v>21.739130434782609</v>
      </c>
      <c r="I226" s="152">
        <f>B226/9.2</f>
        <v>10.869565217391305</v>
      </c>
      <c r="J226" s="152">
        <f>B226/9.2</f>
        <v>10.869565217391305</v>
      </c>
      <c r="K226" s="152">
        <f>B226/15.3</f>
        <v>6.5359477124183005</v>
      </c>
      <c r="L226" s="153"/>
      <c r="M226" s="9" t="s">
        <v>11</v>
      </c>
      <c r="N226" s="9" t="s">
        <v>12</v>
      </c>
      <c r="O226" s="9" t="s">
        <v>13</v>
      </c>
      <c r="P226" s="9" t="s">
        <v>4</v>
      </c>
      <c r="R226" s="236"/>
      <c r="S226" s="232"/>
      <c r="T226" s="230"/>
      <c r="U226" s="232"/>
      <c r="V226" s="230"/>
      <c r="W226" s="232"/>
      <c r="X226" s="230"/>
      <c r="Y226" s="232"/>
      <c r="Z226" s="230"/>
      <c r="AA226" s="232"/>
      <c r="AB226" s="232"/>
      <c r="AC226" s="234"/>
      <c r="AD226" s="26">
        <f>VLOOKUP(AC227,R227:AB228,5,0)</f>
        <v>10.398195510088092</v>
      </c>
      <c r="AE226" s="27">
        <f>VLOOKUP(AC227,R227:AB228,7,0)</f>
        <v>3.8925652004671076</v>
      </c>
      <c r="AF226" s="28">
        <f>VLOOKUP(AC227,R227:AB228,9,0)</f>
        <v>9.7847358121330714</v>
      </c>
      <c r="AG226" s="29">
        <f>VLOOKUP(AC227,R227:AB228,11,0)</f>
        <v>169.49152542372883</v>
      </c>
    </row>
    <row r="227" spans="1:33" ht="12.75" customHeight="1">
      <c r="A227" s="28" t="s">
        <v>0</v>
      </c>
      <c r="B227" s="28" t="s">
        <v>1</v>
      </c>
      <c r="C227" s="28" t="s">
        <v>2</v>
      </c>
      <c r="D227" s="28" t="s">
        <v>3</v>
      </c>
      <c r="E227" s="150" t="s">
        <v>4</v>
      </c>
      <c r="F227" s="151" t="s">
        <v>117</v>
      </c>
      <c r="G227" s="152"/>
      <c r="H227" s="152"/>
      <c r="I227" s="152"/>
      <c r="J227" s="152"/>
      <c r="K227" s="152"/>
      <c r="L227" s="153"/>
      <c r="M227" s="21">
        <f>G226/100*25+F226/100*2+H226/100*0.5+I226/100*0.5+J226/100*15</f>
        <v>10.398195510088092</v>
      </c>
      <c r="N227" s="21">
        <f>B226/25.69</f>
        <v>3.8925652004671076</v>
      </c>
      <c r="O227" s="21">
        <f>B226/10.22</f>
        <v>9.7847358121330714</v>
      </c>
      <c r="P227" s="21">
        <f>E226</f>
        <v>169.49152542372883</v>
      </c>
      <c r="R227" s="241" t="str">
        <f>A226</f>
        <v>سالاد اووکادو و تن ماهی</v>
      </c>
      <c r="S227" s="238" t="s">
        <v>1</v>
      </c>
      <c r="T227" s="237">
        <f>B226</f>
        <v>100</v>
      </c>
      <c r="U227" s="238" t="s">
        <v>23</v>
      </c>
      <c r="V227" s="237">
        <f t="shared" ref="V227" si="428">M227</f>
        <v>10.398195510088092</v>
      </c>
      <c r="W227" s="238" t="s">
        <v>24</v>
      </c>
      <c r="X227" s="237">
        <f t="shared" ref="X227" si="429">N227</f>
        <v>3.8925652004671076</v>
      </c>
      <c r="Y227" s="238" t="s">
        <v>13</v>
      </c>
      <c r="Z227" s="237">
        <f t="shared" si="296"/>
        <v>9.7847358121330714</v>
      </c>
      <c r="AA227" s="238" t="s">
        <v>4</v>
      </c>
      <c r="AB227" s="238">
        <f>P227</f>
        <v>169.49152542372883</v>
      </c>
      <c r="AC227" s="239" t="str">
        <f>R227</f>
        <v>سالاد اووکادو و تن ماهی</v>
      </c>
      <c r="AD227" s="26" t="s">
        <v>11</v>
      </c>
      <c r="AE227" s="27" t="s">
        <v>12</v>
      </c>
      <c r="AF227" s="28" t="s">
        <v>13</v>
      </c>
      <c r="AG227" s="29" t="s">
        <v>4</v>
      </c>
    </row>
    <row r="228" spans="1:33" ht="12.75" customHeight="1">
      <c r="A228" s="28" t="s">
        <v>285</v>
      </c>
      <c r="B228" s="28">
        <v>100</v>
      </c>
      <c r="C228" s="28" t="s">
        <v>89</v>
      </c>
      <c r="D228" s="28">
        <f t="shared" ref="D228" si="430">B228</f>
        <v>100</v>
      </c>
      <c r="E228" s="150">
        <f>B228/3.125</f>
        <v>32</v>
      </c>
      <c r="F228" s="151">
        <f>B228/1</f>
        <v>100</v>
      </c>
      <c r="G228" s="152"/>
      <c r="H228" s="152"/>
      <c r="I228" s="152"/>
      <c r="J228" s="152"/>
      <c r="K228" s="152"/>
      <c r="L228" s="153"/>
      <c r="M228" s="9" t="s">
        <v>11</v>
      </c>
      <c r="N228" s="9" t="s">
        <v>12</v>
      </c>
      <c r="O228" s="9" t="s">
        <v>13</v>
      </c>
      <c r="P228" s="9" t="s">
        <v>4</v>
      </c>
      <c r="R228" s="236"/>
      <c r="S228" s="232"/>
      <c r="T228" s="230"/>
      <c r="U228" s="232"/>
      <c r="V228" s="230"/>
      <c r="W228" s="232"/>
      <c r="X228" s="230"/>
      <c r="Y228" s="232"/>
      <c r="Z228" s="230"/>
      <c r="AA228" s="232"/>
      <c r="AB228" s="232"/>
      <c r="AC228" s="234"/>
      <c r="AD228" s="26">
        <f>VLOOKUP(AC229,R229:AB230,5,0)</f>
        <v>2.9002320185614852</v>
      </c>
      <c r="AE228" s="27">
        <f>VLOOKUP(AC229,R229:AB230,7,0)</f>
        <v>2</v>
      </c>
      <c r="AF228" s="28" t="str">
        <f>VLOOKUP(AC229,R229:AB230,9,0)</f>
        <v>trace</v>
      </c>
      <c r="AG228" s="29">
        <f>VLOOKUP(AC229,R229:AB230,11,0)</f>
        <v>32</v>
      </c>
    </row>
    <row r="229" spans="1:33" ht="12.75" customHeight="1">
      <c r="A229" s="213" t="s">
        <v>0</v>
      </c>
      <c r="B229" s="213" t="s">
        <v>1</v>
      </c>
      <c r="C229" s="213" t="s">
        <v>2</v>
      </c>
      <c r="D229" s="213" t="s">
        <v>3</v>
      </c>
      <c r="E229" s="213" t="s">
        <v>4</v>
      </c>
      <c r="F229" s="214" t="s">
        <v>286</v>
      </c>
      <c r="G229" s="214" t="s">
        <v>287</v>
      </c>
      <c r="H229" s="214" t="s">
        <v>288</v>
      </c>
      <c r="I229" s="214" t="s">
        <v>40</v>
      </c>
      <c r="J229" s="214"/>
      <c r="K229" s="214"/>
      <c r="L229" s="214"/>
      <c r="M229" s="21">
        <f>100/34.48</f>
        <v>2.9002320185614852</v>
      </c>
      <c r="N229" s="21">
        <f>F228/100*2</f>
        <v>2</v>
      </c>
      <c r="O229" s="21" t="s">
        <v>283</v>
      </c>
      <c r="P229" s="21">
        <f>F228/100*32</f>
        <v>32</v>
      </c>
      <c r="R229" s="241" t="str">
        <f>A228</f>
        <v>برنج گل کلم</v>
      </c>
      <c r="S229" s="238" t="s">
        <v>1</v>
      </c>
      <c r="T229" s="237">
        <f>B228</f>
        <v>100</v>
      </c>
      <c r="U229" s="238" t="s">
        <v>23</v>
      </c>
      <c r="V229" s="237">
        <f t="shared" ref="V229" si="431">M229</f>
        <v>2.9002320185614852</v>
      </c>
      <c r="W229" s="238" t="s">
        <v>24</v>
      </c>
      <c r="X229" s="237">
        <f t="shared" ref="X229" si="432">N229</f>
        <v>2</v>
      </c>
      <c r="Y229" s="238" t="s">
        <v>13</v>
      </c>
      <c r="Z229" s="237" t="str">
        <f>O229</f>
        <v>trace</v>
      </c>
      <c r="AA229" s="238" t="s">
        <v>4</v>
      </c>
      <c r="AB229" s="238">
        <f t="shared" ref="AB229" si="433">P229</f>
        <v>32</v>
      </c>
      <c r="AC229" s="239" t="str">
        <f>R229</f>
        <v>برنج گل کلم</v>
      </c>
      <c r="AD229" s="26" t="s">
        <v>11</v>
      </c>
      <c r="AE229" s="27" t="s">
        <v>12</v>
      </c>
      <c r="AF229" s="28" t="s">
        <v>13</v>
      </c>
      <c r="AG229" s="29" t="s">
        <v>4</v>
      </c>
    </row>
    <row r="230" spans="1:33" ht="12.75" customHeight="1">
      <c r="A230" s="213" t="s">
        <v>289</v>
      </c>
      <c r="B230" s="213">
        <v>225</v>
      </c>
      <c r="C230" s="213" t="s">
        <v>89</v>
      </c>
      <c r="D230" s="213">
        <f t="shared" ref="D230" si="434">B230</f>
        <v>225</v>
      </c>
      <c r="E230" s="213">
        <f>B230/1.56</f>
        <v>144.23076923076923</v>
      </c>
      <c r="F230" s="214">
        <f>B230/1.66</f>
        <v>135.54216867469881</v>
      </c>
      <c r="G230" s="214">
        <f>B230/37.5</f>
        <v>6</v>
      </c>
      <c r="H230" s="214">
        <f>B230/2.14</f>
        <v>105.14018691588784</v>
      </c>
      <c r="I230" s="214">
        <v>25</v>
      </c>
      <c r="J230" s="214"/>
      <c r="K230" s="214"/>
      <c r="L230" s="214"/>
      <c r="M230" s="9" t="s">
        <v>11</v>
      </c>
      <c r="N230" s="9" t="s">
        <v>12</v>
      </c>
      <c r="O230" s="9" t="s">
        <v>13</v>
      </c>
      <c r="P230" s="9" t="s">
        <v>4</v>
      </c>
      <c r="R230" s="236"/>
      <c r="S230" s="232"/>
      <c r="T230" s="230"/>
      <c r="U230" s="232"/>
      <c r="V230" s="230"/>
      <c r="W230" s="232"/>
      <c r="X230" s="230"/>
      <c r="Y230" s="232"/>
      <c r="Z230" s="230"/>
      <c r="AA230" s="232"/>
      <c r="AB230" s="232"/>
      <c r="AC230" s="234"/>
      <c r="AD230" s="26">
        <f>VLOOKUP(AC231,R231:AB232,5,0)</f>
        <v>15.1415043350974</v>
      </c>
      <c r="AE230" s="27">
        <f>VLOOKUP(AC231,R231:AB232,7,0)</f>
        <v>16.731198626280825</v>
      </c>
      <c r="AF230" s="28">
        <f>VLOOKUP(AC231,R231:AB232,9,0)</f>
        <v>4.5072115384615383</v>
      </c>
      <c r="AG230" s="29">
        <f>VLOOKUP(AC231,R231:AB232,11,0)</f>
        <v>144.23076923076923</v>
      </c>
    </row>
    <row r="231" spans="1:33" ht="12.75" customHeight="1">
      <c r="A231" s="213" t="s">
        <v>0</v>
      </c>
      <c r="B231" s="213" t="s">
        <v>1</v>
      </c>
      <c r="C231" s="213" t="s">
        <v>2</v>
      </c>
      <c r="D231" s="213" t="s">
        <v>3</v>
      </c>
      <c r="E231" s="213" t="s">
        <v>4</v>
      </c>
      <c r="F231" s="214" t="s">
        <v>290</v>
      </c>
      <c r="G231" s="214" t="s">
        <v>44</v>
      </c>
      <c r="H231" s="214" t="s">
        <v>291</v>
      </c>
      <c r="I231" s="214"/>
      <c r="J231" s="214"/>
      <c r="K231" s="214"/>
      <c r="L231" s="214"/>
      <c r="M231" s="21">
        <f>F230/100*8+H230/100*2.59+I230/100*6.3</f>
        <v>15.1415043350974</v>
      </c>
      <c r="N231" s="21">
        <f>F230/240*15+H230/100*7+G230/100*15</f>
        <v>16.731198626280825</v>
      </c>
      <c r="O231" s="21">
        <f>E230/32</f>
        <v>4.5072115384615383</v>
      </c>
      <c r="P231" s="21">
        <f>E230</f>
        <v>144.23076923076923</v>
      </c>
      <c r="R231" s="241" t="str">
        <f>A230</f>
        <v>اوتمیل میوه و مغزها</v>
      </c>
      <c r="S231" s="238" t="s">
        <v>1</v>
      </c>
      <c r="T231" s="237">
        <f>B230</f>
        <v>225</v>
      </c>
      <c r="U231" s="238" t="s">
        <v>23</v>
      </c>
      <c r="V231" s="237">
        <f t="shared" ref="V231" si="435">M231</f>
        <v>15.1415043350974</v>
      </c>
      <c r="W231" s="238" t="s">
        <v>24</v>
      </c>
      <c r="X231" s="237">
        <f t="shared" ref="X231" si="436">N231</f>
        <v>16.731198626280825</v>
      </c>
      <c r="Y231" s="238" t="s">
        <v>13</v>
      </c>
      <c r="Z231" s="237">
        <f t="shared" ref="Z231" si="437">O231</f>
        <v>4.5072115384615383</v>
      </c>
      <c r="AA231" s="238" t="s">
        <v>4</v>
      </c>
      <c r="AB231" s="238">
        <f t="shared" ref="AB231" si="438">P231</f>
        <v>144.23076923076923</v>
      </c>
      <c r="AC231" s="239" t="str">
        <f>R231</f>
        <v>اوتمیل میوه و مغزها</v>
      </c>
      <c r="AD231" s="26" t="s">
        <v>11</v>
      </c>
      <c r="AE231" s="27" t="s">
        <v>12</v>
      </c>
      <c r="AF231" s="28" t="s">
        <v>13</v>
      </c>
      <c r="AG231" s="29" t="s">
        <v>4</v>
      </c>
    </row>
    <row r="232" spans="1:33" ht="12.75" customHeight="1">
      <c r="A232" s="213" t="s">
        <v>292</v>
      </c>
      <c r="B232" s="213">
        <v>200</v>
      </c>
      <c r="C232" s="213" t="s">
        <v>89</v>
      </c>
      <c r="D232" s="213">
        <f t="shared" ref="D232" si="439">B232</f>
        <v>200</v>
      </c>
      <c r="E232" s="213">
        <f>P233</f>
        <v>444.35010677452522</v>
      </c>
      <c r="F232" s="214">
        <f>B232/3.16</f>
        <v>63.291139240506325</v>
      </c>
      <c r="G232" s="214">
        <f>B232/6.33</f>
        <v>31.595576619273302</v>
      </c>
      <c r="H232" s="214">
        <f>B232/1.9</f>
        <v>105.26315789473685</v>
      </c>
      <c r="I232" s="214"/>
      <c r="J232" s="214"/>
      <c r="K232" s="214"/>
      <c r="L232" s="214"/>
      <c r="M232" s="9" t="s">
        <v>11</v>
      </c>
      <c r="N232" s="9" t="s">
        <v>12</v>
      </c>
      <c r="O232" s="9" t="s">
        <v>13</v>
      </c>
      <c r="P232" s="9" t="s">
        <v>4</v>
      </c>
      <c r="R232" s="236"/>
      <c r="S232" s="232"/>
      <c r="T232" s="230"/>
      <c r="U232" s="232"/>
      <c r="V232" s="230"/>
      <c r="W232" s="232"/>
      <c r="X232" s="230"/>
      <c r="Y232" s="232"/>
      <c r="Z232" s="230"/>
      <c r="AA232" s="232"/>
      <c r="AB232" s="232"/>
      <c r="AC232" s="234"/>
      <c r="AD232" s="26">
        <f>VLOOKUP(AC233,R233:AB234,5,0)</f>
        <v>14.332772359238126</v>
      </c>
      <c r="AE232" s="27">
        <f>VLOOKUP(AC233,R233:AB234,7,0)</f>
        <v>56.805626159706065</v>
      </c>
      <c r="AF232" s="28">
        <f>VLOOKUP(AC233,R233:AB234,9,0)</f>
        <v>18.012478253044574</v>
      </c>
      <c r="AG232" s="29">
        <f>VLOOKUP(AC233,R233:AB234,11,0)</f>
        <v>444.35010677452522</v>
      </c>
    </row>
    <row r="233" spans="1:33" ht="12.75" customHeight="1">
      <c r="A233" s="213" t="s">
        <v>0</v>
      </c>
      <c r="B233" s="213" t="s">
        <v>1</v>
      </c>
      <c r="C233" s="213" t="s">
        <v>2</v>
      </c>
      <c r="D233" s="213" t="s">
        <v>3</v>
      </c>
      <c r="E233" s="213" t="s">
        <v>4</v>
      </c>
      <c r="F233" s="214" t="s">
        <v>293</v>
      </c>
      <c r="G233" s="214" t="s">
        <v>194</v>
      </c>
      <c r="H233" s="214" t="s">
        <v>294</v>
      </c>
      <c r="I233" s="214" t="s">
        <v>291</v>
      </c>
      <c r="J233" s="214"/>
      <c r="K233" s="214"/>
      <c r="L233" s="214"/>
      <c r="M233" s="21">
        <f>F232/100*10+G232/100*22+H232/100*1</f>
        <v>14.332772359238126</v>
      </c>
      <c r="N233" s="21">
        <f>F232/100*50+G232/100*13+H232/100*20</f>
        <v>56.805626159706065</v>
      </c>
      <c r="O233" s="21">
        <f>F232/100*3+G232/100*51</f>
        <v>18.012478253044574</v>
      </c>
      <c r="P233" s="21">
        <f>F232/100*266+G232/100*607+H232/100*80</f>
        <v>444.35010677452522</v>
      </c>
      <c r="R233" s="241" t="str">
        <f>A232</f>
        <v>ساندویچ کره بادام زمینی و موز</v>
      </c>
      <c r="S233" s="238" t="s">
        <v>1</v>
      </c>
      <c r="T233" s="237">
        <f>B232</f>
        <v>200</v>
      </c>
      <c r="U233" s="238" t="s">
        <v>23</v>
      </c>
      <c r="V233" s="237">
        <f t="shared" ref="V233" si="440">M233</f>
        <v>14.332772359238126</v>
      </c>
      <c r="W233" s="238" t="s">
        <v>24</v>
      </c>
      <c r="X233" s="237">
        <f t="shared" ref="X233" si="441">N233</f>
        <v>56.805626159706065</v>
      </c>
      <c r="Y233" s="238" t="s">
        <v>13</v>
      </c>
      <c r="Z233" s="237">
        <f t="shared" ref="Z233" si="442">O233</f>
        <v>18.012478253044574</v>
      </c>
      <c r="AA233" s="238" t="s">
        <v>4</v>
      </c>
      <c r="AB233" s="238">
        <f t="shared" ref="AB233" si="443">P233</f>
        <v>444.35010677452522</v>
      </c>
      <c r="AC233" s="239" t="str">
        <f>R233</f>
        <v>ساندویچ کره بادام زمینی و موز</v>
      </c>
      <c r="AD233" s="26" t="s">
        <v>11</v>
      </c>
      <c r="AE233" s="27" t="s">
        <v>12</v>
      </c>
      <c r="AF233" s="28" t="s">
        <v>13</v>
      </c>
      <c r="AG233" s="29" t="s">
        <v>4</v>
      </c>
    </row>
    <row r="234" spans="1:33" ht="12.75" customHeight="1">
      <c r="A234" s="213" t="s">
        <v>295</v>
      </c>
      <c r="B234" s="213">
        <v>250</v>
      </c>
      <c r="C234" s="213" t="s">
        <v>89</v>
      </c>
      <c r="D234" s="213">
        <f t="shared" ref="D234" si="444">B234</f>
        <v>250</v>
      </c>
      <c r="E234" s="213">
        <f>P235</f>
        <v>94.673708920187778</v>
      </c>
      <c r="F234" s="214">
        <f>B234/11.25</f>
        <v>22.222222222222221</v>
      </c>
      <c r="G234" s="214">
        <f>B234/2.84</f>
        <v>88.028169014084511</v>
      </c>
      <c r="H234" s="214">
        <f>B234/2.5</f>
        <v>100</v>
      </c>
      <c r="I234" s="214">
        <f>B234/6.25</f>
        <v>40</v>
      </c>
      <c r="J234" s="214"/>
      <c r="K234" s="214"/>
      <c r="L234" s="214"/>
      <c r="M234" s="9" t="s">
        <v>11</v>
      </c>
      <c r="N234" s="9" t="s">
        <v>12</v>
      </c>
      <c r="O234" s="9" t="s">
        <v>13</v>
      </c>
      <c r="P234" s="9" t="s">
        <v>4</v>
      </c>
      <c r="R234" s="236"/>
      <c r="S234" s="232"/>
      <c r="T234" s="230"/>
      <c r="U234" s="232"/>
      <c r="V234" s="230"/>
      <c r="W234" s="232"/>
      <c r="X234" s="230"/>
      <c r="Y234" s="232"/>
      <c r="Z234" s="230"/>
      <c r="AA234" s="232"/>
      <c r="AB234" s="232"/>
      <c r="AC234" s="234"/>
      <c r="AD234" s="26">
        <f>VLOOKUP(AC235,R235:AB236,5,0)</f>
        <v>4.782785602503913</v>
      </c>
      <c r="AE234" s="27">
        <f>VLOOKUP(AC235,R235:AB236,7,0)</f>
        <v>13.10363067292645</v>
      </c>
      <c r="AF234" s="28">
        <f>VLOOKUP(AC235,R235:AB236,9,0)</f>
        <v>2</v>
      </c>
      <c r="AG234" s="29">
        <f>VLOOKUP(AC235,R235:AB236,11,0)</f>
        <v>94.673708920187778</v>
      </c>
    </row>
    <row r="235" spans="1:33" ht="12.75" customHeight="1">
      <c r="A235" s="159" t="s">
        <v>0</v>
      </c>
      <c r="B235" s="159" t="s">
        <v>1</v>
      </c>
      <c r="C235" s="159" t="s">
        <v>2</v>
      </c>
      <c r="D235" s="159" t="s">
        <v>3</v>
      </c>
      <c r="E235" s="160" t="s">
        <v>4</v>
      </c>
      <c r="F235" s="161"/>
      <c r="G235" s="162"/>
      <c r="H235" s="162"/>
      <c r="I235" s="162"/>
      <c r="J235" s="162"/>
      <c r="K235" s="162"/>
      <c r="L235" s="163"/>
      <c r="M235" s="21">
        <f>G234/100*2+H234/250*6+I234/100*1+F234/100*1</f>
        <v>4.782785602503913</v>
      </c>
      <c r="N235" s="21">
        <f>I234/100*15+H234/250*1.2+G234/100*5+F234/100*10</f>
        <v>13.10363067292645</v>
      </c>
      <c r="O235" s="21">
        <f>H234/250*5</f>
        <v>2</v>
      </c>
      <c r="P235" s="21">
        <f>I234/100*60+H234/250*55+G234/100*25+F234/50*60</f>
        <v>94.673708920187778</v>
      </c>
      <c r="R235" s="241" t="str">
        <f>A234</f>
        <v>گرین اسموتی</v>
      </c>
      <c r="S235" s="238" t="s">
        <v>1</v>
      </c>
      <c r="T235" s="237">
        <f>B234</f>
        <v>250</v>
      </c>
      <c r="U235" s="238" t="s">
        <v>23</v>
      </c>
      <c r="V235" s="237">
        <f t="shared" ref="V235" si="445">M235</f>
        <v>4.782785602503913</v>
      </c>
      <c r="W235" s="238" t="s">
        <v>24</v>
      </c>
      <c r="X235" s="237">
        <f t="shared" ref="X235" si="446">N235</f>
        <v>13.10363067292645</v>
      </c>
      <c r="Y235" s="238" t="s">
        <v>13</v>
      </c>
      <c r="Z235" s="237">
        <f t="shared" ref="Z235" si="447">O235</f>
        <v>2</v>
      </c>
      <c r="AA235" s="238" t="s">
        <v>4</v>
      </c>
      <c r="AB235" s="238">
        <f t="shared" ref="AB235" si="448">P235</f>
        <v>94.673708920187778</v>
      </c>
      <c r="AC235" s="239" t="str">
        <f>R235</f>
        <v>گرین اسموتی</v>
      </c>
      <c r="AD235" s="26" t="s">
        <v>11</v>
      </c>
      <c r="AE235" s="27" t="s">
        <v>12</v>
      </c>
      <c r="AF235" s="28" t="s">
        <v>13</v>
      </c>
      <c r="AG235" s="29" t="s">
        <v>4</v>
      </c>
    </row>
    <row r="236" spans="1:33" ht="12.75" customHeight="1">
      <c r="A236" s="159" t="s">
        <v>43</v>
      </c>
      <c r="B236" s="159">
        <v>30</v>
      </c>
      <c r="C236" s="159" t="s">
        <v>78</v>
      </c>
      <c r="D236" s="164">
        <f>B236/30</f>
        <v>1</v>
      </c>
      <c r="E236" s="160">
        <f>P237</f>
        <v>24</v>
      </c>
      <c r="F236" s="161"/>
      <c r="G236" s="162"/>
      <c r="H236" s="162"/>
      <c r="I236" s="162"/>
      <c r="J236" s="162"/>
      <c r="K236" s="162"/>
      <c r="L236" s="163"/>
      <c r="M236" s="9" t="s">
        <v>11</v>
      </c>
      <c r="N236" s="9" t="s">
        <v>12</v>
      </c>
      <c r="O236" s="9" t="s">
        <v>13</v>
      </c>
      <c r="P236" s="9" t="s">
        <v>4</v>
      </c>
      <c r="R236" s="236"/>
      <c r="S236" s="232"/>
      <c r="T236" s="230"/>
      <c r="U236" s="232"/>
      <c r="V236" s="230"/>
      <c r="W236" s="232"/>
      <c r="X236" s="230"/>
      <c r="Y236" s="232"/>
      <c r="Z236" s="230"/>
      <c r="AA236" s="232"/>
      <c r="AB236" s="232"/>
      <c r="AC236" s="234"/>
      <c r="AD236" s="26">
        <f>VLOOKUP(AC237,R237:AB238,5,0)</f>
        <v>0.6</v>
      </c>
      <c r="AE236" s="27">
        <f>VLOOKUP(AC237,R237:AB238,7,0)</f>
        <v>4.5</v>
      </c>
      <c r="AF236" s="28">
        <f>VLOOKUP(AC237,R237:AB238,9,0)</f>
        <v>0.3</v>
      </c>
      <c r="AG236" s="29">
        <f>VLOOKUP(AC237,R237:AB238,11,0)</f>
        <v>24</v>
      </c>
    </row>
    <row r="237" spans="1:33" ht="12.75" customHeight="1">
      <c r="A237" s="159" t="s">
        <v>0</v>
      </c>
      <c r="B237" s="159" t="s">
        <v>1</v>
      </c>
      <c r="C237" s="159" t="s">
        <v>2</v>
      </c>
      <c r="D237" s="159" t="s">
        <v>3</v>
      </c>
      <c r="E237" s="160" t="s">
        <v>4</v>
      </c>
      <c r="F237" s="161"/>
      <c r="G237" s="162"/>
      <c r="H237" s="162"/>
      <c r="I237" s="162"/>
      <c r="J237" s="162"/>
      <c r="K237" s="162"/>
      <c r="L237" s="163"/>
      <c r="M237" s="21">
        <f>B236*2/100</f>
        <v>0.6</v>
      </c>
      <c r="N237" s="21">
        <f>B236*15/100</f>
        <v>4.5</v>
      </c>
      <c r="O237" s="21">
        <f>B236/1/100</f>
        <v>0.3</v>
      </c>
      <c r="P237" s="21">
        <f>B236*80/100</f>
        <v>24</v>
      </c>
      <c r="R237" s="241" t="str">
        <f>A236</f>
        <v>نان(به طور میانگین)</v>
      </c>
      <c r="S237" s="238" t="s">
        <v>1</v>
      </c>
      <c r="T237" s="237">
        <f>B236</f>
        <v>30</v>
      </c>
      <c r="U237" s="238" t="s">
        <v>23</v>
      </c>
      <c r="V237" s="237">
        <f t="shared" ref="V237" si="449">M237</f>
        <v>0.6</v>
      </c>
      <c r="W237" s="238" t="s">
        <v>24</v>
      </c>
      <c r="X237" s="237">
        <f t="shared" ref="X237" si="450">N237</f>
        <v>4.5</v>
      </c>
      <c r="Y237" s="238" t="s">
        <v>13</v>
      </c>
      <c r="Z237" s="237">
        <f t="shared" ref="Z237" si="451">O237</f>
        <v>0.3</v>
      </c>
      <c r="AA237" s="238" t="s">
        <v>4</v>
      </c>
      <c r="AB237" s="238">
        <f t="shared" ref="AB237" si="452">P237</f>
        <v>24</v>
      </c>
      <c r="AC237" s="239" t="str">
        <f>R237</f>
        <v>نان(به طور میانگین)</v>
      </c>
      <c r="AD237" s="26" t="s">
        <v>11</v>
      </c>
      <c r="AE237" s="27" t="s">
        <v>12</v>
      </c>
      <c r="AF237" s="28" t="s">
        <v>13</v>
      </c>
      <c r="AG237" s="29" t="s">
        <v>4</v>
      </c>
    </row>
    <row r="238" spans="1:33" ht="12.75" customHeight="1">
      <c r="A238" s="159" t="s">
        <v>39</v>
      </c>
      <c r="B238" s="159">
        <v>30</v>
      </c>
      <c r="C238" s="159" t="s">
        <v>78</v>
      </c>
      <c r="D238" s="164">
        <f t="shared" ref="D238" si="453">B238/30</f>
        <v>1</v>
      </c>
      <c r="E238" s="160">
        <f>P239</f>
        <v>78</v>
      </c>
      <c r="F238" s="161"/>
      <c r="G238" s="162"/>
      <c r="H238" s="162"/>
      <c r="I238" s="162"/>
      <c r="J238" s="162"/>
      <c r="K238" s="162"/>
      <c r="L238" s="163"/>
      <c r="M238" s="9" t="s">
        <v>11</v>
      </c>
      <c r="N238" s="9" t="s">
        <v>12</v>
      </c>
      <c r="O238" s="9" t="s">
        <v>13</v>
      </c>
      <c r="P238" s="9" t="s">
        <v>4</v>
      </c>
      <c r="R238" s="236"/>
      <c r="S238" s="232"/>
      <c r="T238" s="230"/>
      <c r="U238" s="232"/>
      <c r="V238" s="230"/>
      <c r="W238" s="232"/>
      <c r="X238" s="230"/>
      <c r="Y238" s="232"/>
      <c r="Z238" s="230"/>
      <c r="AA238" s="232"/>
      <c r="AB238" s="232"/>
      <c r="AC238" s="234"/>
      <c r="AD238" s="26">
        <f>VLOOKUP(AC239,R239:AB240,5,0)</f>
        <v>2.4</v>
      </c>
      <c r="AE238" s="27">
        <f>VLOOKUP(AC239,R239:AB240,7,0)</f>
        <v>16.5</v>
      </c>
      <c r="AF238" s="28">
        <f>VLOOKUP(AC239,R239:AB240,9,0)</f>
        <v>0.3</v>
      </c>
      <c r="AG238" s="29">
        <f>VLOOKUP(AC239,R239:AB240,11,0)</f>
        <v>78</v>
      </c>
    </row>
    <row r="239" spans="1:33" ht="12.75" customHeight="1">
      <c r="A239" s="159" t="s">
        <v>0</v>
      </c>
      <c r="B239" s="159" t="s">
        <v>1</v>
      </c>
      <c r="C239" s="159" t="s">
        <v>2</v>
      </c>
      <c r="D239" s="159" t="s">
        <v>3</v>
      </c>
      <c r="E239" s="160" t="s">
        <v>4</v>
      </c>
      <c r="F239" s="161"/>
      <c r="G239" s="162"/>
      <c r="H239" s="162"/>
      <c r="I239" s="162"/>
      <c r="J239" s="162"/>
      <c r="K239" s="162"/>
      <c r="L239" s="163"/>
      <c r="M239" s="21">
        <f>B238/100*8</f>
        <v>2.4</v>
      </c>
      <c r="N239" s="21">
        <f>B238/100*55</f>
        <v>16.5</v>
      </c>
      <c r="O239" s="21">
        <f>B238/100*1</f>
        <v>0.3</v>
      </c>
      <c r="P239" s="21">
        <f>B238/100*260</f>
        <v>78</v>
      </c>
      <c r="R239" s="241" t="str">
        <f>A238</f>
        <v>نان لواش</v>
      </c>
      <c r="S239" s="238" t="s">
        <v>1</v>
      </c>
      <c r="T239" s="237">
        <f>B238</f>
        <v>30</v>
      </c>
      <c r="U239" s="238" t="s">
        <v>23</v>
      </c>
      <c r="V239" s="237">
        <f t="shared" ref="V239" si="454">M239</f>
        <v>2.4</v>
      </c>
      <c r="W239" s="238" t="s">
        <v>24</v>
      </c>
      <c r="X239" s="237">
        <f t="shared" ref="X239" si="455">N239</f>
        <v>16.5</v>
      </c>
      <c r="Y239" s="238" t="s">
        <v>13</v>
      </c>
      <c r="Z239" s="237">
        <f t="shared" ref="Z239" si="456">O239</f>
        <v>0.3</v>
      </c>
      <c r="AA239" s="238" t="s">
        <v>4</v>
      </c>
      <c r="AB239" s="238">
        <f t="shared" ref="AB239" si="457">P239</f>
        <v>78</v>
      </c>
      <c r="AC239" s="239" t="str">
        <f>R239</f>
        <v>نان لواش</v>
      </c>
      <c r="AD239" s="26" t="s">
        <v>11</v>
      </c>
      <c r="AE239" s="27" t="s">
        <v>12</v>
      </c>
      <c r="AF239" s="28" t="s">
        <v>13</v>
      </c>
      <c r="AG239" s="29" t="s">
        <v>4</v>
      </c>
    </row>
    <row r="240" spans="1:33" ht="12.75" customHeight="1">
      <c r="A240" s="159" t="s">
        <v>296</v>
      </c>
      <c r="B240" s="159">
        <v>30</v>
      </c>
      <c r="C240" s="159" t="s">
        <v>78</v>
      </c>
      <c r="D240" s="164">
        <f t="shared" ref="D240" si="458">B240/30</f>
        <v>1</v>
      </c>
      <c r="E240" s="160">
        <f>P241</f>
        <v>72</v>
      </c>
      <c r="F240" s="161"/>
      <c r="G240" s="162"/>
      <c r="H240" s="162"/>
      <c r="I240" s="162"/>
      <c r="J240" s="162"/>
      <c r="K240" s="162"/>
      <c r="L240" s="163"/>
      <c r="M240" s="9" t="s">
        <v>11</v>
      </c>
      <c r="N240" s="9" t="s">
        <v>12</v>
      </c>
      <c r="O240" s="9" t="s">
        <v>13</v>
      </c>
      <c r="P240" s="9" t="s">
        <v>4</v>
      </c>
      <c r="R240" s="236"/>
      <c r="S240" s="232"/>
      <c r="T240" s="230"/>
      <c r="U240" s="232"/>
      <c r="V240" s="230"/>
      <c r="W240" s="232"/>
      <c r="X240" s="230"/>
      <c r="Y240" s="232"/>
      <c r="Z240" s="230"/>
      <c r="AA240" s="232"/>
      <c r="AB240" s="232"/>
      <c r="AC240" s="234"/>
      <c r="AD240" s="26">
        <f>VLOOKUP(AC241,R241:AB242,5,0)</f>
        <v>2.1</v>
      </c>
      <c r="AE240" s="27">
        <f>VLOOKUP(AC241,R241:AB242,7,0)</f>
        <v>13.2</v>
      </c>
      <c r="AF240" s="28">
        <f>VLOOKUP(AC241,R241:AB242,9,0)</f>
        <v>0.6</v>
      </c>
      <c r="AG240" s="29">
        <f>VLOOKUP(AC241,R241:AB242,11,0)</f>
        <v>72</v>
      </c>
    </row>
    <row r="241" spans="1:33" ht="12.75" customHeight="1">
      <c r="A241" s="159" t="s">
        <v>0</v>
      </c>
      <c r="B241" s="159" t="s">
        <v>1</v>
      </c>
      <c r="C241" s="159" t="s">
        <v>2</v>
      </c>
      <c r="D241" s="159" t="s">
        <v>3</v>
      </c>
      <c r="E241" s="160" t="s">
        <v>4</v>
      </c>
      <c r="F241" s="161"/>
      <c r="G241" s="162"/>
      <c r="H241" s="162"/>
      <c r="I241" s="162"/>
      <c r="J241" s="162"/>
      <c r="K241" s="162"/>
      <c r="L241" s="163"/>
      <c r="M241" s="21">
        <f>B240/100*7</f>
        <v>2.1</v>
      </c>
      <c r="N241" s="21">
        <f>B240/100*44</f>
        <v>13.2</v>
      </c>
      <c r="O241" s="21">
        <f>B240/100*2</f>
        <v>0.6</v>
      </c>
      <c r="P241" s="21">
        <f>B240/100*240</f>
        <v>72</v>
      </c>
      <c r="R241" s="241" t="str">
        <f>A240</f>
        <v>نان بربری</v>
      </c>
      <c r="S241" s="238" t="s">
        <v>1</v>
      </c>
      <c r="T241" s="237">
        <f>B240</f>
        <v>30</v>
      </c>
      <c r="U241" s="238" t="s">
        <v>23</v>
      </c>
      <c r="V241" s="237">
        <f t="shared" ref="V241" si="459">M241</f>
        <v>2.1</v>
      </c>
      <c r="W241" s="238" t="s">
        <v>24</v>
      </c>
      <c r="X241" s="237">
        <f t="shared" ref="X241" si="460">N241</f>
        <v>13.2</v>
      </c>
      <c r="Y241" s="238" t="s">
        <v>13</v>
      </c>
      <c r="Z241" s="237">
        <f t="shared" ref="Z241" si="461">O241</f>
        <v>0.6</v>
      </c>
      <c r="AA241" s="238" t="s">
        <v>4</v>
      </c>
      <c r="AB241" s="238">
        <f t="shared" ref="AB241" si="462">P241</f>
        <v>72</v>
      </c>
      <c r="AC241" s="239" t="str">
        <f>R241</f>
        <v>نان بربری</v>
      </c>
      <c r="AD241" s="26" t="s">
        <v>11</v>
      </c>
      <c r="AE241" s="27" t="s">
        <v>12</v>
      </c>
      <c r="AF241" s="28" t="s">
        <v>13</v>
      </c>
      <c r="AG241" s="29" t="s">
        <v>4</v>
      </c>
    </row>
    <row r="242" spans="1:33" ht="12.75" customHeight="1">
      <c r="A242" s="159" t="s">
        <v>297</v>
      </c>
      <c r="B242" s="159">
        <v>30</v>
      </c>
      <c r="C242" s="159" t="s">
        <v>78</v>
      </c>
      <c r="D242" s="164">
        <f t="shared" ref="D242" si="463">B242/30</f>
        <v>1</v>
      </c>
      <c r="E242" s="160">
        <f>P243</f>
        <v>72</v>
      </c>
      <c r="F242" s="161"/>
      <c r="G242" s="162"/>
      <c r="H242" s="162"/>
      <c r="I242" s="162"/>
      <c r="J242" s="162"/>
      <c r="K242" s="162"/>
      <c r="L242" s="163"/>
      <c r="M242" s="9" t="s">
        <v>11</v>
      </c>
      <c r="N242" s="9" t="s">
        <v>12</v>
      </c>
      <c r="O242" s="9" t="s">
        <v>13</v>
      </c>
      <c r="P242" s="9" t="s">
        <v>4</v>
      </c>
      <c r="R242" s="236"/>
      <c r="S242" s="232"/>
      <c r="T242" s="230"/>
      <c r="U242" s="232"/>
      <c r="V242" s="230"/>
      <c r="W242" s="232"/>
      <c r="X242" s="230"/>
      <c r="Y242" s="232"/>
      <c r="Z242" s="230"/>
      <c r="AA242" s="232"/>
      <c r="AB242" s="232"/>
      <c r="AC242" s="234"/>
      <c r="AD242" s="26">
        <f>VLOOKUP(AC243,R243:AB244,5,0)</f>
        <v>2.4</v>
      </c>
      <c r="AE242" s="27">
        <f>VLOOKUP(AC243,R243:AB244,7,0)</f>
        <v>14.1</v>
      </c>
      <c r="AF242" s="28">
        <f>VLOOKUP(AC243,R243:AB244,9,0)</f>
        <v>0.6</v>
      </c>
      <c r="AG242" s="29">
        <f>VLOOKUP(AC243,R243:AB244,11,0)</f>
        <v>72</v>
      </c>
    </row>
    <row r="243" spans="1:33" ht="12.75" customHeight="1">
      <c r="A243" s="159" t="s">
        <v>0</v>
      </c>
      <c r="B243" s="159" t="s">
        <v>1</v>
      </c>
      <c r="C243" s="159" t="s">
        <v>2</v>
      </c>
      <c r="D243" s="159" t="s">
        <v>3</v>
      </c>
      <c r="E243" s="160" t="s">
        <v>4</v>
      </c>
      <c r="F243" s="161"/>
      <c r="G243" s="162"/>
      <c r="H243" s="162"/>
      <c r="I243" s="162"/>
      <c r="J243" s="162"/>
      <c r="K243" s="162"/>
      <c r="L243" s="163"/>
      <c r="M243" s="21">
        <f>B242/100*8</f>
        <v>2.4</v>
      </c>
      <c r="N243" s="21">
        <f>B242/100*47</f>
        <v>14.1</v>
      </c>
      <c r="O243" s="21">
        <f>B242/100*2</f>
        <v>0.6</v>
      </c>
      <c r="P243" s="21">
        <f>B242/100*240</f>
        <v>72</v>
      </c>
      <c r="R243" s="241" t="str">
        <f>A242</f>
        <v>نان سنگک</v>
      </c>
      <c r="S243" s="238" t="s">
        <v>1</v>
      </c>
      <c r="T243" s="237">
        <f>B242</f>
        <v>30</v>
      </c>
      <c r="U243" s="238" t="s">
        <v>23</v>
      </c>
      <c r="V243" s="237">
        <f t="shared" ref="V243" si="464">M243</f>
        <v>2.4</v>
      </c>
      <c r="W243" s="238" t="s">
        <v>24</v>
      </c>
      <c r="X243" s="237">
        <f t="shared" ref="X243" si="465">N243</f>
        <v>14.1</v>
      </c>
      <c r="Y243" s="238" t="s">
        <v>13</v>
      </c>
      <c r="Z243" s="237">
        <f t="shared" ref="Z243" si="466">O243</f>
        <v>0.6</v>
      </c>
      <c r="AA243" s="238" t="s">
        <v>4</v>
      </c>
      <c r="AB243" s="238">
        <f t="shared" ref="AB243" si="467">P243</f>
        <v>72</v>
      </c>
      <c r="AC243" s="239" t="str">
        <f>R243</f>
        <v>نان سنگک</v>
      </c>
      <c r="AD243" s="26" t="s">
        <v>11</v>
      </c>
      <c r="AE243" s="27" t="s">
        <v>12</v>
      </c>
      <c r="AF243" s="28" t="s">
        <v>13</v>
      </c>
      <c r="AG243" s="29" t="s">
        <v>4</v>
      </c>
    </row>
    <row r="244" spans="1:33" ht="12.75" customHeight="1">
      <c r="A244" s="159" t="s">
        <v>298</v>
      </c>
      <c r="B244" s="159">
        <v>30</v>
      </c>
      <c r="C244" s="159" t="s">
        <v>78</v>
      </c>
      <c r="D244" s="164">
        <f t="shared" ref="D244" si="468">B244/30</f>
        <v>1</v>
      </c>
      <c r="E244" s="160">
        <f>P245</f>
        <v>80.400000000000006</v>
      </c>
      <c r="F244" s="161"/>
      <c r="G244" s="162"/>
      <c r="H244" s="162"/>
      <c r="I244" s="162"/>
      <c r="J244" s="162"/>
      <c r="K244" s="162"/>
      <c r="L244" s="163"/>
      <c r="M244" s="9" t="s">
        <v>11</v>
      </c>
      <c r="N244" s="9" t="s">
        <v>12</v>
      </c>
      <c r="O244" s="9" t="s">
        <v>13</v>
      </c>
      <c r="P244" s="9" t="s">
        <v>4</v>
      </c>
      <c r="R244" s="236"/>
      <c r="S244" s="232"/>
      <c r="T244" s="230"/>
      <c r="U244" s="232"/>
      <c r="V244" s="230"/>
      <c r="W244" s="232"/>
      <c r="X244" s="230"/>
      <c r="Y244" s="232"/>
      <c r="Z244" s="230"/>
      <c r="AA244" s="232"/>
      <c r="AB244" s="232"/>
      <c r="AC244" s="234"/>
      <c r="AD244" s="26">
        <f>VLOOKUP(AC245,R245:AB246,5,0)</f>
        <v>2.6999999999999997</v>
      </c>
      <c r="AE244" s="27">
        <f>VLOOKUP(AC245,R245:AB246,7,0)</f>
        <v>15</v>
      </c>
      <c r="AF244" s="28">
        <f>VLOOKUP(AC245,R245:AB246,9,0)</f>
        <v>0.89999999999999991</v>
      </c>
      <c r="AG244" s="29">
        <f>VLOOKUP(AC245,R245:AB246,11,0)</f>
        <v>80.400000000000006</v>
      </c>
    </row>
    <row r="245" spans="1:33" ht="12.75" customHeight="1">
      <c r="A245" s="159" t="s">
        <v>0</v>
      </c>
      <c r="B245" s="159" t="s">
        <v>1</v>
      </c>
      <c r="C245" s="159" t="s">
        <v>2</v>
      </c>
      <c r="D245" s="159" t="s">
        <v>3</v>
      </c>
      <c r="E245" s="160" t="s">
        <v>4</v>
      </c>
      <c r="F245" s="161"/>
      <c r="G245" s="162"/>
      <c r="H245" s="162"/>
      <c r="I245" s="162"/>
      <c r="J245" s="162"/>
      <c r="K245" s="162"/>
      <c r="L245" s="163"/>
      <c r="M245" s="21">
        <f>B244/100*9</f>
        <v>2.6999999999999997</v>
      </c>
      <c r="N245" s="21">
        <f>B244/100*50</f>
        <v>15</v>
      </c>
      <c r="O245" s="21">
        <f>B244/100*3</f>
        <v>0.89999999999999991</v>
      </c>
      <c r="P245" s="21">
        <f>B244*268/100</f>
        <v>80.400000000000006</v>
      </c>
      <c r="R245" s="241" t="str">
        <f>A244</f>
        <v>نان ساندویچی</v>
      </c>
      <c r="S245" s="238" t="s">
        <v>1</v>
      </c>
      <c r="T245" s="237">
        <f>B244</f>
        <v>30</v>
      </c>
      <c r="U245" s="238" t="s">
        <v>23</v>
      </c>
      <c r="V245" s="237">
        <f t="shared" ref="V245" si="469">M245</f>
        <v>2.6999999999999997</v>
      </c>
      <c r="W245" s="238" t="s">
        <v>24</v>
      </c>
      <c r="X245" s="237">
        <f t="shared" ref="X245" si="470">N245</f>
        <v>15</v>
      </c>
      <c r="Y245" s="238" t="s">
        <v>13</v>
      </c>
      <c r="Z245" s="237">
        <f t="shared" ref="Z245" si="471">O245</f>
        <v>0.89999999999999991</v>
      </c>
      <c r="AA245" s="238" t="s">
        <v>4</v>
      </c>
      <c r="AB245" s="238">
        <f t="shared" ref="AB245" si="472">P245</f>
        <v>80.400000000000006</v>
      </c>
      <c r="AC245" s="239" t="str">
        <f>R245</f>
        <v>نان ساندویچی</v>
      </c>
      <c r="AD245" s="26" t="s">
        <v>11</v>
      </c>
      <c r="AE245" s="27" t="s">
        <v>12</v>
      </c>
      <c r="AF245" s="28" t="s">
        <v>13</v>
      </c>
      <c r="AG245" s="29" t="s">
        <v>4</v>
      </c>
    </row>
    <row r="246" spans="1:33" ht="12.75" customHeight="1">
      <c r="A246" s="159" t="s">
        <v>299</v>
      </c>
      <c r="B246" s="159">
        <v>30</v>
      </c>
      <c r="C246" s="159" t="s">
        <v>96</v>
      </c>
      <c r="D246" s="164">
        <f>B246/30</f>
        <v>1</v>
      </c>
      <c r="E246" s="160">
        <f>P247</f>
        <v>79.5</v>
      </c>
      <c r="F246" s="161"/>
      <c r="G246" s="162"/>
      <c r="H246" s="162"/>
      <c r="I246" s="162"/>
      <c r="J246" s="162"/>
      <c r="K246" s="162"/>
      <c r="L246" s="163"/>
      <c r="M246" s="9" t="s">
        <v>11</v>
      </c>
      <c r="N246" s="9" t="s">
        <v>12</v>
      </c>
      <c r="O246" s="9" t="s">
        <v>13</v>
      </c>
      <c r="P246" s="9" t="s">
        <v>4</v>
      </c>
      <c r="R246" s="236"/>
      <c r="S246" s="232"/>
      <c r="T246" s="230"/>
      <c r="U246" s="232"/>
      <c r="V246" s="230"/>
      <c r="W246" s="232"/>
      <c r="X246" s="230"/>
      <c r="Y246" s="232"/>
      <c r="Z246" s="230"/>
      <c r="AA246" s="232"/>
      <c r="AB246" s="232"/>
      <c r="AC246" s="234"/>
      <c r="AD246" s="26">
        <f>VLOOKUP(AC247,R247:AB248,5,0)</f>
        <v>3.9</v>
      </c>
      <c r="AE246" s="27">
        <f>VLOOKUP(AC247,R247:AB248,7,0)</f>
        <v>12.9</v>
      </c>
      <c r="AF246" s="28">
        <f>VLOOKUP(AC247,R247:AB248,9,0)</f>
        <v>1.2</v>
      </c>
      <c r="AG246" s="29">
        <f>VLOOKUP(AC247,R247:AB248,11,0)</f>
        <v>79.5</v>
      </c>
    </row>
    <row r="247" spans="1:33" ht="12.75" customHeight="1">
      <c r="A247" s="159" t="s">
        <v>0</v>
      </c>
      <c r="B247" s="159" t="s">
        <v>1</v>
      </c>
      <c r="C247" s="159" t="s">
        <v>2</v>
      </c>
      <c r="D247" s="159" t="s">
        <v>3</v>
      </c>
      <c r="E247" s="160" t="s">
        <v>4</v>
      </c>
      <c r="F247" s="161"/>
      <c r="G247" s="162"/>
      <c r="H247" s="162"/>
      <c r="I247" s="162"/>
      <c r="J247" s="162"/>
      <c r="K247" s="162"/>
      <c r="L247" s="163"/>
      <c r="M247" s="21">
        <f>B246*13/100</f>
        <v>3.9</v>
      </c>
      <c r="N247" s="21">
        <f>B246*43/100</f>
        <v>12.9</v>
      </c>
      <c r="O247" s="21">
        <f>B246*4/100</f>
        <v>1.2</v>
      </c>
      <c r="P247" s="21">
        <f>B246*265/100</f>
        <v>79.5</v>
      </c>
      <c r="R247" s="241" t="str">
        <f>A246</f>
        <v>نان تست چند غله</v>
      </c>
      <c r="S247" s="238" t="s">
        <v>1</v>
      </c>
      <c r="T247" s="237">
        <f>B246</f>
        <v>30</v>
      </c>
      <c r="U247" s="238" t="s">
        <v>23</v>
      </c>
      <c r="V247" s="237">
        <f t="shared" ref="V247:V307" si="473">M247</f>
        <v>3.9</v>
      </c>
      <c r="W247" s="238" t="s">
        <v>24</v>
      </c>
      <c r="X247" s="237">
        <f t="shared" ref="X247" si="474">N247</f>
        <v>12.9</v>
      </c>
      <c r="Y247" s="238" t="s">
        <v>13</v>
      </c>
      <c r="Z247" s="237">
        <f t="shared" ref="Z247:Z291" si="475">O247</f>
        <v>1.2</v>
      </c>
      <c r="AA247" s="238" t="s">
        <v>4</v>
      </c>
      <c r="AB247" s="238">
        <f t="shared" ref="AB247" si="476">P247</f>
        <v>79.5</v>
      </c>
      <c r="AC247" s="239" t="str">
        <f>R247</f>
        <v>نان تست چند غله</v>
      </c>
      <c r="AD247" s="26" t="s">
        <v>11</v>
      </c>
      <c r="AE247" s="27" t="s">
        <v>12</v>
      </c>
      <c r="AF247" s="28" t="s">
        <v>13</v>
      </c>
      <c r="AG247" s="29" t="s">
        <v>4</v>
      </c>
    </row>
    <row r="248" spans="1:33" ht="12.75" customHeight="1">
      <c r="A248" s="159" t="s">
        <v>300</v>
      </c>
      <c r="B248" s="159">
        <v>30</v>
      </c>
      <c r="C248" s="159" t="s">
        <v>96</v>
      </c>
      <c r="D248" s="164">
        <f t="shared" ref="D248" si="477">B248/30</f>
        <v>1</v>
      </c>
      <c r="E248" s="160">
        <f>P249</f>
        <v>93.9</v>
      </c>
      <c r="F248" s="161"/>
      <c r="G248" s="162"/>
      <c r="H248" s="162"/>
      <c r="I248" s="162"/>
      <c r="J248" s="162"/>
      <c r="K248" s="162"/>
      <c r="L248" s="163"/>
      <c r="M248" s="9" t="s">
        <v>11</v>
      </c>
      <c r="N248" s="9" t="s">
        <v>12</v>
      </c>
      <c r="O248" s="9" t="s">
        <v>13</v>
      </c>
      <c r="P248" s="9" t="s">
        <v>4</v>
      </c>
      <c r="R248" s="236"/>
      <c r="S248" s="232"/>
      <c r="T248" s="230"/>
      <c r="U248" s="232"/>
      <c r="V248" s="230"/>
      <c r="W248" s="232"/>
      <c r="X248" s="230"/>
      <c r="Y248" s="232"/>
      <c r="Z248" s="230"/>
      <c r="AA248" s="232"/>
      <c r="AB248" s="232"/>
      <c r="AC248" s="234"/>
      <c r="AD248" s="26">
        <f>VLOOKUP(AC249,R249:AB250,5,0)</f>
        <v>3.9</v>
      </c>
      <c r="AE248" s="27">
        <f>VLOOKUP(AC249,R249:AB250,7,0)</f>
        <v>16.8</v>
      </c>
      <c r="AF248" s="28">
        <f>VLOOKUP(AC249,R249:AB250,9,0)</f>
        <v>1.2</v>
      </c>
      <c r="AG248" s="29">
        <f>VLOOKUP(AC249,R249:AB250,11,0)</f>
        <v>93.9</v>
      </c>
    </row>
    <row r="249" spans="1:33" ht="12.75" customHeight="1">
      <c r="A249" s="159" t="s">
        <v>0</v>
      </c>
      <c r="B249" s="159" t="s">
        <v>1</v>
      </c>
      <c r="C249" s="159" t="s">
        <v>2</v>
      </c>
      <c r="D249" s="159" t="s">
        <v>3</v>
      </c>
      <c r="E249" s="160" t="s">
        <v>4</v>
      </c>
      <c r="F249" s="161"/>
      <c r="G249" s="162"/>
      <c r="H249" s="162"/>
      <c r="I249" s="162"/>
      <c r="J249" s="162"/>
      <c r="K249" s="162"/>
      <c r="L249" s="163"/>
      <c r="M249" s="21">
        <f>B248*13/100</f>
        <v>3.9</v>
      </c>
      <c r="N249" s="21">
        <f>B248*56/100</f>
        <v>16.8</v>
      </c>
      <c r="O249" s="21">
        <f>B248*4/100</f>
        <v>1.2</v>
      </c>
      <c r="P249" s="21">
        <f>B248*313/100</f>
        <v>93.9</v>
      </c>
      <c r="R249" s="241" t="str">
        <f>A248</f>
        <v>نان تست</v>
      </c>
      <c r="S249" s="238" t="s">
        <v>1</v>
      </c>
      <c r="T249" s="237">
        <f>B248</f>
        <v>30</v>
      </c>
      <c r="U249" s="238" t="s">
        <v>23</v>
      </c>
      <c r="V249" s="237">
        <f t="shared" ref="V249:V309" si="478">M249</f>
        <v>3.9</v>
      </c>
      <c r="W249" s="238" t="s">
        <v>24</v>
      </c>
      <c r="X249" s="237">
        <f t="shared" ref="X249" si="479">N249</f>
        <v>16.8</v>
      </c>
      <c r="Y249" s="238" t="s">
        <v>13</v>
      </c>
      <c r="Z249" s="237">
        <f t="shared" ref="Z249:Z293" si="480">O249</f>
        <v>1.2</v>
      </c>
      <c r="AA249" s="238" t="s">
        <v>4</v>
      </c>
      <c r="AB249" s="238">
        <f t="shared" ref="AB249" si="481">P249</f>
        <v>93.9</v>
      </c>
      <c r="AC249" s="239" t="str">
        <f>R249</f>
        <v>نان تست</v>
      </c>
      <c r="AD249" s="26" t="s">
        <v>11</v>
      </c>
      <c r="AE249" s="27" t="s">
        <v>12</v>
      </c>
      <c r="AF249" s="28" t="s">
        <v>13</v>
      </c>
      <c r="AG249" s="29" t="s">
        <v>4</v>
      </c>
    </row>
    <row r="250" spans="1:33" ht="12.75" customHeight="1">
      <c r="A250" s="159" t="s">
        <v>301</v>
      </c>
      <c r="B250" s="159">
        <v>30</v>
      </c>
      <c r="C250" s="159" t="s">
        <v>96</v>
      </c>
      <c r="D250" s="164">
        <f t="shared" ref="D250" si="482">B250/30</f>
        <v>1</v>
      </c>
      <c r="E250" s="160">
        <f>P251</f>
        <v>88.8</v>
      </c>
      <c r="F250" s="161"/>
      <c r="G250" s="162"/>
      <c r="H250" s="162"/>
      <c r="I250" s="162"/>
      <c r="J250" s="162"/>
      <c r="K250" s="162"/>
      <c r="L250" s="163"/>
      <c r="M250" s="9" t="s">
        <v>11</v>
      </c>
      <c r="N250" s="9" t="s">
        <v>12</v>
      </c>
      <c r="O250" s="9" t="s">
        <v>13</v>
      </c>
      <c r="P250" s="9" t="s">
        <v>4</v>
      </c>
      <c r="R250" s="236"/>
      <c r="S250" s="232"/>
      <c r="T250" s="230"/>
      <c r="U250" s="232"/>
      <c r="V250" s="230"/>
      <c r="W250" s="232"/>
      <c r="X250" s="230"/>
      <c r="Y250" s="232"/>
      <c r="Z250" s="230"/>
      <c r="AA250" s="232"/>
      <c r="AB250" s="232"/>
      <c r="AC250" s="234"/>
      <c r="AD250" s="26">
        <f>VLOOKUP(AC251,R251:AB252,5,0)</f>
        <v>2.4</v>
      </c>
      <c r="AE250" s="27">
        <f>VLOOKUP(AC251,R251:AB252,7,0)</f>
        <v>15</v>
      </c>
      <c r="AF250" s="28">
        <f>VLOOKUP(AC251,R251:AB252,9,0)</f>
        <v>1.2</v>
      </c>
      <c r="AG250" s="29">
        <f>VLOOKUP(AC251,R251:AB252,11,0)</f>
        <v>88.8</v>
      </c>
    </row>
    <row r="251" spans="1:33" ht="12.75" customHeight="1">
      <c r="A251" s="27" t="s">
        <v>0</v>
      </c>
      <c r="B251" s="27" t="s">
        <v>1</v>
      </c>
      <c r="C251" s="27" t="s">
        <v>2</v>
      </c>
      <c r="D251" s="139" t="s">
        <v>3</v>
      </c>
      <c r="E251" s="140" t="s">
        <v>4</v>
      </c>
      <c r="F251" s="141"/>
      <c r="G251" s="142"/>
      <c r="H251" s="142"/>
      <c r="I251" s="142"/>
      <c r="J251" s="142"/>
      <c r="K251" s="142"/>
      <c r="L251" s="143"/>
      <c r="M251" s="21">
        <f>B250*8/100</f>
        <v>2.4</v>
      </c>
      <c r="N251" s="21">
        <f>B250*50/100</f>
        <v>15</v>
      </c>
      <c r="O251" s="21">
        <f>B250*4/100</f>
        <v>1.2</v>
      </c>
      <c r="P251" s="21">
        <f>B250*296/100</f>
        <v>88.8</v>
      </c>
      <c r="R251" s="241" t="str">
        <f>A250</f>
        <v>نان تست جو</v>
      </c>
      <c r="S251" s="238" t="s">
        <v>1</v>
      </c>
      <c r="T251" s="237">
        <f>B250</f>
        <v>30</v>
      </c>
      <c r="U251" s="238" t="s">
        <v>23</v>
      </c>
      <c r="V251" s="237">
        <f t="shared" ref="V251:V311" si="483">M251</f>
        <v>2.4</v>
      </c>
      <c r="W251" s="238" t="s">
        <v>24</v>
      </c>
      <c r="X251" s="237">
        <f t="shared" ref="X251" si="484">N251</f>
        <v>15</v>
      </c>
      <c r="Y251" s="238" t="s">
        <v>13</v>
      </c>
      <c r="Z251" s="237">
        <f t="shared" ref="Z251:Z295" si="485">O251</f>
        <v>1.2</v>
      </c>
      <c r="AA251" s="238" t="s">
        <v>4</v>
      </c>
      <c r="AB251" s="238">
        <f t="shared" ref="AB251" si="486">P251</f>
        <v>88.8</v>
      </c>
      <c r="AC251" s="239" t="str">
        <f>R251</f>
        <v>نان تست جو</v>
      </c>
      <c r="AD251" s="26" t="s">
        <v>11</v>
      </c>
      <c r="AE251" s="27" t="s">
        <v>12</v>
      </c>
      <c r="AF251" s="28" t="s">
        <v>13</v>
      </c>
      <c r="AG251" s="29" t="s">
        <v>4</v>
      </c>
    </row>
    <row r="252" spans="1:33" ht="12.75" customHeight="1">
      <c r="A252" s="27" t="s">
        <v>302</v>
      </c>
      <c r="B252" s="27">
        <v>250</v>
      </c>
      <c r="C252" s="27" t="s">
        <v>83</v>
      </c>
      <c r="D252" s="139">
        <f>B252/250</f>
        <v>1</v>
      </c>
      <c r="E252" s="140">
        <f>P253</f>
        <v>202.5</v>
      </c>
      <c r="F252" s="141"/>
      <c r="G252" s="142"/>
      <c r="H252" s="142"/>
      <c r="I252" s="142"/>
      <c r="J252" s="142"/>
      <c r="K252" s="142"/>
      <c r="L252" s="143"/>
      <c r="M252" s="9" t="s">
        <v>11</v>
      </c>
      <c r="N252" s="9" t="s">
        <v>12</v>
      </c>
      <c r="O252" s="9" t="s">
        <v>13</v>
      </c>
      <c r="P252" s="9" t="s">
        <v>4</v>
      </c>
      <c r="R252" s="236"/>
      <c r="S252" s="232"/>
      <c r="T252" s="230"/>
      <c r="U252" s="232"/>
      <c r="V252" s="230"/>
      <c r="W252" s="232"/>
      <c r="X252" s="230"/>
      <c r="Y252" s="232"/>
      <c r="Z252" s="230"/>
      <c r="AA252" s="232"/>
      <c r="AB252" s="232"/>
      <c r="AC252" s="234"/>
      <c r="AD252" s="26">
        <f>VLOOKUP(AC253,R253:AB254,5,0)</f>
        <v>20</v>
      </c>
      <c r="AE252" s="27">
        <f>VLOOKUP(AC253,R253:AB254,7,0)</f>
        <v>30</v>
      </c>
      <c r="AF252" s="28">
        <f>VLOOKUP(AC253,R253:AB254,9,0)</f>
        <v>12.5</v>
      </c>
      <c r="AG252" s="29">
        <f>VLOOKUP(AC253,R253:AB254,11,0)</f>
        <v>202.5</v>
      </c>
    </row>
    <row r="253" spans="1:33" ht="12.75" customHeight="1">
      <c r="A253" s="27" t="s">
        <v>0</v>
      </c>
      <c r="B253" s="27" t="s">
        <v>1</v>
      </c>
      <c r="C253" s="27" t="s">
        <v>2</v>
      </c>
      <c r="D253" s="139" t="s">
        <v>3</v>
      </c>
      <c r="E253" s="140" t="s">
        <v>4</v>
      </c>
      <c r="F253" s="141"/>
      <c r="G253" s="142"/>
      <c r="H253" s="142"/>
      <c r="I253" s="142"/>
      <c r="J253" s="142"/>
      <c r="K253" s="142"/>
      <c r="L253" s="143"/>
      <c r="M253" s="21">
        <f>B252*8/100</f>
        <v>20</v>
      </c>
      <c r="N253" s="21">
        <f>B252*12/100</f>
        <v>30</v>
      </c>
      <c r="O253" s="21">
        <f>B252*5/100</f>
        <v>12.5</v>
      </c>
      <c r="P253" s="21">
        <f>B252*81/100</f>
        <v>202.5</v>
      </c>
      <c r="R253" s="241" t="str">
        <f>A252</f>
        <v>ماست پرچرب</v>
      </c>
      <c r="S253" s="238" t="s">
        <v>1</v>
      </c>
      <c r="T253" s="237">
        <f>B252</f>
        <v>250</v>
      </c>
      <c r="U253" s="238" t="s">
        <v>23</v>
      </c>
      <c r="V253" s="237">
        <f t="shared" ref="V253:V313" si="487">M253</f>
        <v>20</v>
      </c>
      <c r="W253" s="238" t="s">
        <v>24</v>
      </c>
      <c r="X253" s="237">
        <f t="shared" ref="X253" si="488">N253</f>
        <v>30</v>
      </c>
      <c r="Y253" s="238" t="s">
        <v>13</v>
      </c>
      <c r="Z253" s="237">
        <f t="shared" ref="Z253:Z297" si="489">O253</f>
        <v>12.5</v>
      </c>
      <c r="AA253" s="238" t="s">
        <v>4</v>
      </c>
      <c r="AB253" s="238">
        <f t="shared" ref="AB253" si="490">P253</f>
        <v>202.5</v>
      </c>
      <c r="AC253" s="239" t="str">
        <f>R253</f>
        <v>ماست پرچرب</v>
      </c>
      <c r="AD253" s="26" t="s">
        <v>11</v>
      </c>
      <c r="AE253" s="27" t="s">
        <v>12</v>
      </c>
      <c r="AF253" s="28" t="s">
        <v>13</v>
      </c>
      <c r="AG253" s="29" t="s">
        <v>4</v>
      </c>
    </row>
    <row r="254" spans="1:33" ht="12" customHeight="1">
      <c r="A254" s="27" t="s">
        <v>303</v>
      </c>
      <c r="B254" s="27">
        <v>251</v>
      </c>
      <c r="C254" s="27" t="s">
        <v>83</v>
      </c>
      <c r="D254" s="139">
        <f t="shared" ref="D254" si="491">B254/250</f>
        <v>1.004</v>
      </c>
      <c r="E254" s="140">
        <f>P255</f>
        <v>141.12</v>
      </c>
      <c r="F254" s="141"/>
      <c r="G254" s="142"/>
      <c r="H254" s="142"/>
      <c r="I254" s="142"/>
      <c r="J254" s="142"/>
      <c r="K254" s="142"/>
      <c r="L254" s="143"/>
      <c r="M254" s="9" t="s">
        <v>11</v>
      </c>
      <c r="N254" s="9" t="s">
        <v>12</v>
      </c>
      <c r="O254" s="9" t="s">
        <v>13</v>
      </c>
      <c r="P254" s="9" t="s">
        <v>4</v>
      </c>
      <c r="R254" s="236"/>
      <c r="S254" s="232"/>
      <c r="T254" s="230"/>
      <c r="U254" s="232"/>
      <c r="V254" s="230"/>
      <c r="W254" s="232"/>
      <c r="X254" s="230"/>
      <c r="Y254" s="232"/>
      <c r="Z254" s="230"/>
      <c r="AA254" s="232"/>
      <c r="AB254" s="232"/>
      <c r="AC254" s="234"/>
      <c r="AD254" s="26">
        <f>VLOOKUP(AC255,R255:AB256,5,0)</f>
        <v>17.57</v>
      </c>
      <c r="AE254" s="27">
        <f>VLOOKUP(AC255,R255:AB256,7,0)</f>
        <v>30.12</v>
      </c>
      <c r="AF254" s="28">
        <f>VLOOKUP(AC255,R255:AB256,9,0)</f>
        <v>2.5099999999999998</v>
      </c>
      <c r="AG254" s="29">
        <f>VLOOKUP(AC255,R255:AB256,11,0)</f>
        <v>141.12</v>
      </c>
    </row>
    <row r="255" spans="1:33" ht="12.75" customHeight="1">
      <c r="A255" s="27" t="s">
        <v>0</v>
      </c>
      <c r="B255" s="27" t="s">
        <v>1</v>
      </c>
      <c r="C255" s="27" t="s">
        <v>2</v>
      </c>
      <c r="D255" s="139" t="s">
        <v>3</v>
      </c>
      <c r="E255" s="140" t="s">
        <v>4</v>
      </c>
      <c r="F255" s="141"/>
      <c r="G255" s="142"/>
      <c r="H255" s="142"/>
      <c r="I255" s="142"/>
      <c r="J255" s="142"/>
      <c r="K255" s="142"/>
      <c r="L255" s="143"/>
      <c r="M255" s="21">
        <f>B254*7/100</f>
        <v>17.57</v>
      </c>
      <c r="N255" s="21">
        <f>B254*12/100</f>
        <v>30.12</v>
      </c>
      <c r="O255" s="21">
        <f>B254*1/100</f>
        <v>2.5099999999999998</v>
      </c>
      <c r="P255" s="21">
        <f>B256*56/100</f>
        <v>141.12</v>
      </c>
      <c r="R255" s="241" t="str">
        <f>A254</f>
        <v>ماست کم چرب</v>
      </c>
      <c r="S255" s="238" t="s">
        <v>1</v>
      </c>
      <c r="T255" s="237">
        <f>B254</f>
        <v>251</v>
      </c>
      <c r="U255" s="238" t="s">
        <v>23</v>
      </c>
      <c r="V255" s="237">
        <f t="shared" ref="V255:V315" si="492">M255</f>
        <v>17.57</v>
      </c>
      <c r="W255" s="238" t="s">
        <v>24</v>
      </c>
      <c r="X255" s="237">
        <f t="shared" ref="X255" si="493">N255</f>
        <v>30.12</v>
      </c>
      <c r="Y255" s="238" t="s">
        <v>13</v>
      </c>
      <c r="Z255" s="237">
        <f t="shared" ref="Z255:Z299" si="494">O255</f>
        <v>2.5099999999999998</v>
      </c>
      <c r="AA255" s="238" t="s">
        <v>4</v>
      </c>
      <c r="AB255" s="238">
        <f t="shared" ref="AB255" si="495">P255</f>
        <v>141.12</v>
      </c>
      <c r="AC255" s="239" t="str">
        <f>R255</f>
        <v>ماست کم چرب</v>
      </c>
      <c r="AD255" s="26" t="s">
        <v>11</v>
      </c>
      <c r="AE255" s="27" t="s">
        <v>12</v>
      </c>
      <c r="AF255" s="28" t="s">
        <v>13</v>
      </c>
      <c r="AG255" s="29" t="s">
        <v>4</v>
      </c>
    </row>
    <row r="256" spans="1:33" ht="12.75" customHeight="1">
      <c r="A256" s="27" t="s">
        <v>304</v>
      </c>
      <c r="B256" s="27">
        <v>252</v>
      </c>
      <c r="C256" s="27" t="s">
        <v>83</v>
      </c>
      <c r="D256" s="139">
        <f t="shared" ref="D256" si="496">B256/250</f>
        <v>1.008</v>
      </c>
      <c r="E256" s="140">
        <f>P257</f>
        <v>196.56</v>
      </c>
      <c r="F256" s="141"/>
      <c r="G256" s="142"/>
      <c r="H256" s="142"/>
      <c r="I256" s="142"/>
      <c r="J256" s="142"/>
      <c r="K256" s="142"/>
      <c r="L256" s="143"/>
      <c r="M256" s="9" t="s">
        <v>11</v>
      </c>
      <c r="N256" s="9" t="s">
        <v>12</v>
      </c>
      <c r="O256" s="9" t="s">
        <v>13</v>
      </c>
      <c r="P256" s="9" t="s">
        <v>4</v>
      </c>
      <c r="R256" s="236"/>
      <c r="S256" s="232"/>
      <c r="T256" s="230"/>
      <c r="U256" s="232"/>
      <c r="V256" s="230"/>
      <c r="W256" s="232"/>
      <c r="X256" s="230"/>
      <c r="Y256" s="232"/>
      <c r="Z256" s="230"/>
      <c r="AA256" s="232"/>
      <c r="AB256" s="232"/>
      <c r="AC256" s="234"/>
      <c r="AD256" s="26">
        <f>VLOOKUP(AC257,R257:AB258,5,0)</f>
        <v>11.34</v>
      </c>
      <c r="AE256" s="27">
        <f>VLOOKUP(AC257,R257:AB258,7,0)</f>
        <v>8.82</v>
      </c>
      <c r="AF256" s="28">
        <f>VLOOKUP(AC257,R257:AB258,9,0)</f>
        <v>11.34</v>
      </c>
      <c r="AG256" s="29">
        <f>VLOOKUP(AC257,R257:AB258,11,0)</f>
        <v>196.56</v>
      </c>
    </row>
    <row r="257" spans="1:33" ht="12" customHeight="1">
      <c r="A257" s="27" t="s">
        <v>0</v>
      </c>
      <c r="B257" s="27" t="s">
        <v>1</v>
      </c>
      <c r="C257" s="27" t="s">
        <v>2</v>
      </c>
      <c r="D257" s="139" t="s">
        <v>3</v>
      </c>
      <c r="E257" s="140" t="s">
        <v>4</v>
      </c>
      <c r="F257" s="141"/>
      <c r="G257" s="142"/>
      <c r="H257" s="142"/>
      <c r="I257" s="142"/>
      <c r="J257" s="142"/>
      <c r="K257" s="142"/>
      <c r="L257" s="143"/>
      <c r="M257" s="21">
        <f>B256*4.5/100</f>
        <v>11.34</v>
      </c>
      <c r="N257" s="21">
        <f>B256*3.5/100</f>
        <v>8.82</v>
      </c>
      <c r="O257" s="21">
        <f>B256*4.5/100</f>
        <v>11.34</v>
      </c>
      <c r="P257" s="21">
        <f>B256*78/100</f>
        <v>196.56</v>
      </c>
      <c r="R257" s="241" t="str">
        <f>A256</f>
        <v>ماست لاکتیویا 4.5% پربی</v>
      </c>
      <c r="S257" s="238" t="s">
        <v>1</v>
      </c>
      <c r="T257" s="237">
        <f>B256</f>
        <v>252</v>
      </c>
      <c r="U257" s="238" t="s">
        <v>23</v>
      </c>
      <c r="V257" s="237">
        <f t="shared" ref="V257:V317" si="497">M257</f>
        <v>11.34</v>
      </c>
      <c r="W257" s="238" t="s">
        <v>24</v>
      </c>
      <c r="X257" s="237">
        <f t="shared" ref="X257" si="498">N257</f>
        <v>8.82</v>
      </c>
      <c r="Y257" s="238" t="s">
        <v>13</v>
      </c>
      <c r="Z257" s="237">
        <f t="shared" ref="Z257:Z273" si="499">O257</f>
        <v>11.34</v>
      </c>
      <c r="AA257" s="238" t="s">
        <v>4</v>
      </c>
      <c r="AB257" s="238">
        <f t="shared" ref="AB257" si="500">P257</f>
        <v>196.56</v>
      </c>
      <c r="AC257" s="239" t="str">
        <f>R257</f>
        <v>ماست لاکتیویا 4.5% پربی</v>
      </c>
      <c r="AD257" s="26" t="s">
        <v>11</v>
      </c>
      <c r="AE257" s="27" t="s">
        <v>12</v>
      </c>
      <c r="AF257" s="28" t="s">
        <v>13</v>
      </c>
      <c r="AG257" s="29" t="s">
        <v>4</v>
      </c>
    </row>
    <row r="258" spans="1:33" ht="12.75" customHeight="1">
      <c r="A258" s="27" t="s">
        <v>305</v>
      </c>
      <c r="B258" s="27">
        <v>253</v>
      </c>
      <c r="C258" s="27" t="s">
        <v>83</v>
      </c>
      <c r="D258" s="139">
        <f t="shared" ref="D258" si="501">B258/250</f>
        <v>1.012</v>
      </c>
      <c r="E258" s="140">
        <f>P259</f>
        <v>151.80000000000001</v>
      </c>
      <c r="F258" s="141"/>
      <c r="G258" s="142"/>
      <c r="H258" s="142"/>
      <c r="I258" s="142"/>
      <c r="J258" s="142"/>
      <c r="K258" s="142"/>
      <c r="L258" s="143"/>
      <c r="M258" s="9" t="s">
        <v>11</v>
      </c>
      <c r="N258" s="9" t="s">
        <v>12</v>
      </c>
      <c r="O258" s="9" t="s">
        <v>13</v>
      </c>
      <c r="P258" s="9" t="s">
        <v>4</v>
      </c>
      <c r="R258" s="236"/>
      <c r="S258" s="232"/>
      <c r="T258" s="230"/>
      <c r="U258" s="232"/>
      <c r="V258" s="230"/>
      <c r="W258" s="232"/>
      <c r="X258" s="230"/>
      <c r="Y258" s="232"/>
      <c r="Z258" s="230"/>
      <c r="AA258" s="232"/>
      <c r="AB258" s="232"/>
      <c r="AC258" s="234"/>
      <c r="AD258" s="26">
        <f>VLOOKUP(AC259,R259:AB260,5,0)</f>
        <v>22.86</v>
      </c>
      <c r="AE258" s="27">
        <f>VLOOKUP(AC259,R259:AB260,7,0)</f>
        <v>4.8069999999999995</v>
      </c>
      <c r="AF258" s="28">
        <f>VLOOKUP(AC259,R259:AB260,9,0)</f>
        <v>0</v>
      </c>
      <c r="AG258" s="29">
        <f>VLOOKUP(AC259,R259:AB260,11,0)</f>
        <v>151.80000000000001</v>
      </c>
    </row>
    <row r="259" spans="1:33" ht="12.75" customHeight="1">
      <c r="A259" s="27" t="s">
        <v>0</v>
      </c>
      <c r="B259" s="27" t="s">
        <v>1</v>
      </c>
      <c r="C259" s="27" t="s">
        <v>2</v>
      </c>
      <c r="D259" s="139" t="s">
        <v>3</v>
      </c>
      <c r="E259" s="140" t="s">
        <v>4</v>
      </c>
      <c r="F259" s="141"/>
      <c r="G259" s="142"/>
      <c r="H259" s="142"/>
      <c r="I259" s="142"/>
      <c r="J259" s="142"/>
      <c r="K259" s="142"/>
      <c r="L259" s="143"/>
      <c r="M259" s="21">
        <f>B260*9/100</f>
        <v>22.86</v>
      </c>
      <c r="N259" s="21">
        <f>B258*1.9/100</f>
        <v>4.8069999999999995</v>
      </c>
      <c r="O259" s="21">
        <v>0</v>
      </c>
      <c r="P259" s="21">
        <f>B258*60/100</f>
        <v>151.80000000000001</v>
      </c>
      <c r="R259" s="241" t="str">
        <f>A258</f>
        <v>ماست ایسلندی</v>
      </c>
      <c r="S259" s="238" t="s">
        <v>1</v>
      </c>
      <c r="T259" s="237">
        <f>B258</f>
        <v>253</v>
      </c>
      <c r="U259" s="238" t="s">
        <v>23</v>
      </c>
      <c r="V259" s="237">
        <f t="shared" ref="V259:V319" si="502">M259</f>
        <v>22.86</v>
      </c>
      <c r="W259" s="238" t="s">
        <v>24</v>
      </c>
      <c r="X259" s="237">
        <f t="shared" ref="X259" si="503">N259</f>
        <v>4.8069999999999995</v>
      </c>
      <c r="Y259" s="238" t="s">
        <v>13</v>
      </c>
      <c r="Z259" s="237">
        <f t="shared" ref="Z259:Z287" si="504">O259</f>
        <v>0</v>
      </c>
      <c r="AA259" s="238" t="s">
        <v>4</v>
      </c>
      <c r="AB259" s="238">
        <f t="shared" ref="AB259" si="505">P259</f>
        <v>151.80000000000001</v>
      </c>
      <c r="AC259" s="239" t="str">
        <f>R259</f>
        <v>ماست ایسلندی</v>
      </c>
      <c r="AD259" s="26" t="s">
        <v>11</v>
      </c>
      <c r="AE259" s="27" t="s">
        <v>12</v>
      </c>
      <c r="AF259" s="28" t="s">
        <v>13</v>
      </c>
      <c r="AG259" s="29" t="s">
        <v>4</v>
      </c>
    </row>
    <row r="260" spans="1:33" ht="12.75" customHeight="1">
      <c r="A260" s="27" t="s">
        <v>306</v>
      </c>
      <c r="B260" s="27">
        <v>254</v>
      </c>
      <c r="C260" s="27" t="s">
        <v>83</v>
      </c>
      <c r="D260" s="139">
        <f t="shared" ref="D260" si="506">B260/250</f>
        <v>1.016</v>
      </c>
      <c r="E260" s="140">
        <f>P261</f>
        <v>215.9</v>
      </c>
      <c r="F260" s="141"/>
      <c r="G260" s="142"/>
      <c r="H260" s="142"/>
      <c r="I260" s="142"/>
      <c r="J260" s="142"/>
      <c r="K260" s="142"/>
      <c r="L260" s="143"/>
      <c r="M260" s="9" t="s">
        <v>11</v>
      </c>
      <c r="N260" s="9" t="s">
        <v>12</v>
      </c>
      <c r="O260" s="9" t="s">
        <v>13</v>
      </c>
      <c r="P260" s="9" t="s">
        <v>4</v>
      </c>
      <c r="R260" s="236"/>
      <c r="S260" s="232"/>
      <c r="T260" s="230"/>
      <c r="U260" s="232"/>
      <c r="V260" s="230"/>
      <c r="W260" s="232"/>
      <c r="X260" s="230"/>
      <c r="Y260" s="232"/>
      <c r="Z260" s="230"/>
      <c r="AA260" s="232"/>
      <c r="AB260" s="232"/>
      <c r="AC260" s="234"/>
      <c r="AD260" s="26">
        <f>VLOOKUP(AC261,R261:AB262,5,0)</f>
        <v>21.335999999999999</v>
      </c>
      <c r="AE260" s="27">
        <f>VLOOKUP(AC261,R261:AB262,7,0)</f>
        <v>10.16</v>
      </c>
      <c r="AF260" s="28">
        <f>VLOOKUP(AC261,R261:AB262,9,0)</f>
        <v>10.16</v>
      </c>
      <c r="AG260" s="29">
        <f>VLOOKUP(AC261,R261:AB262,11,0)</f>
        <v>215.9</v>
      </c>
    </row>
    <row r="261" spans="1:33" ht="12.75" customHeight="1">
      <c r="A261" s="27" t="s">
        <v>0</v>
      </c>
      <c r="B261" s="27" t="s">
        <v>1</v>
      </c>
      <c r="C261" s="27" t="s">
        <v>2</v>
      </c>
      <c r="D261" s="139" t="s">
        <v>3</v>
      </c>
      <c r="E261" s="140" t="s">
        <v>4</v>
      </c>
      <c r="F261" s="141"/>
      <c r="G261" s="142"/>
      <c r="H261" s="142"/>
      <c r="I261" s="142"/>
      <c r="J261" s="142"/>
      <c r="K261" s="142"/>
      <c r="L261" s="143"/>
      <c r="M261" s="21">
        <f>B260*8.4/100</f>
        <v>21.335999999999999</v>
      </c>
      <c r="N261" s="21">
        <f>B260*4/100</f>
        <v>10.16</v>
      </c>
      <c r="O261" s="21">
        <f>B260*4/100</f>
        <v>10.16</v>
      </c>
      <c r="P261" s="21">
        <f>B260*85/100</f>
        <v>215.9</v>
      </c>
      <c r="R261" s="241" t="str">
        <f>A260</f>
        <v>ماست موسیر</v>
      </c>
      <c r="S261" s="238" t="s">
        <v>1</v>
      </c>
      <c r="T261" s="237">
        <f>B260</f>
        <v>254</v>
      </c>
      <c r="U261" s="238" t="s">
        <v>23</v>
      </c>
      <c r="V261" s="237">
        <f t="shared" ref="V261:V321" si="507">M261</f>
        <v>21.335999999999999</v>
      </c>
      <c r="W261" s="238" t="s">
        <v>24</v>
      </c>
      <c r="X261" s="237">
        <f t="shared" ref="X261" si="508">N261</f>
        <v>10.16</v>
      </c>
      <c r="Y261" s="238" t="s">
        <v>13</v>
      </c>
      <c r="Z261" s="237">
        <f t="shared" ref="Z261" si="509">O261</f>
        <v>10.16</v>
      </c>
      <c r="AA261" s="238" t="s">
        <v>4</v>
      </c>
      <c r="AB261" s="238">
        <f t="shared" ref="AB261" si="510">P261</f>
        <v>215.9</v>
      </c>
      <c r="AC261" s="239" t="str">
        <f>R261</f>
        <v>ماست موسیر</v>
      </c>
      <c r="AD261" s="26" t="s">
        <v>11</v>
      </c>
      <c r="AE261" s="27" t="s">
        <v>12</v>
      </c>
      <c r="AF261" s="28" t="s">
        <v>13</v>
      </c>
      <c r="AG261" s="29" t="s">
        <v>4</v>
      </c>
    </row>
    <row r="262" spans="1:33" ht="12.75" customHeight="1">
      <c r="A262" s="27" t="s">
        <v>307</v>
      </c>
      <c r="B262" s="27">
        <v>255</v>
      </c>
      <c r="C262" s="27" t="s">
        <v>83</v>
      </c>
      <c r="D262" s="139">
        <f t="shared" ref="D262" si="511">B262/250</f>
        <v>1.02</v>
      </c>
      <c r="E262" s="140">
        <f>P263</f>
        <v>157.25</v>
      </c>
      <c r="F262" s="141"/>
      <c r="G262" s="142"/>
      <c r="H262" s="142"/>
      <c r="I262" s="142"/>
      <c r="J262" s="142"/>
      <c r="K262" s="142"/>
      <c r="L262" s="143"/>
      <c r="M262" s="9" t="s">
        <v>11</v>
      </c>
      <c r="N262" s="9" t="s">
        <v>12</v>
      </c>
      <c r="O262" s="9" t="s">
        <v>13</v>
      </c>
      <c r="P262" s="9" t="s">
        <v>4</v>
      </c>
      <c r="R262" s="236"/>
      <c r="S262" s="232"/>
      <c r="T262" s="230"/>
      <c r="U262" s="232"/>
      <c r="V262" s="230"/>
      <c r="W262" s="232"/>
      <c r="X262" s="230"/>
      <c r="Y262" s="232"/>
      <c r="Z262" s="230"/>
      <c r="AA262" s="232"/>
      <c r="AB262" s="232"/>
      <c r="AC262" s="234"/>
      <c r="AD262" s="26">
        <f>VLOOKUP(AC263,R263:AB264,5,0)</f>
        <v>8.5</v>
      </c>
      <c r="AE262" s="27">
        <f>VLOOKUP(AC263,R263:AB264,7,0)</f>
        <v>12.75</v>
      </c>
      <c r="AF262" s="28">
        <f>VLOOKUP(AC263,R263:AB264,9,0)</f>
        <v>3.1875</v>
      </c>
      <c r="AG262" s="29">
        <f>VLOOKUP(AC263,R263:AB264,11,0)</f>
        <v>157.25</v>
      </c>
    </row>
    <row r="263" spans="1:33" ht="12.75" customHeight="1">
      <c r="A263" s="27" t="s">
        <v>0</v>
      </c>
      <c r="B263" s="27" t="s">
        <v>1</v>
      </c>
      <c r="C263" s="27" t="s">
        <v>2</v>
      </c>
      <c r="D263" s="139" t="s">
        <v>3</v>
      </c>
      <c r="E263" s="140" t="s">
        <v>4</v>
      </c>
      <c r="F263" s="141"/>
      <c r="G263" s="142"/>
      <c r="H263" s="142"/>
      <c r="I263" s="142"/>
      <c r="J263" s="142"/>
      <c r="K263" s="142"/>
      <c r="L263" s="143"/>
      <c r="M263" s="21">
        <f>B262/240*8</f>
        <v>8.5</v>
      </c>
      <c r="N263" s="21">
        <f>B262/240*12</f>
        <v>12.75</v>
      </c>
      <c r="O263" s="21">
        <f>B262/240*3</f>
        <v>3.1875</v>
      </c>
      <c r="P263" s="21">
        <f>B262/240*148</f>
        <v>157.25</v>
      </c>
      <c r="R263" s="241" t="str">
        <f>A262</f>
        <v>شیر 3% چربی</v>
      </c>
      <c r="S263" s="238" t="s">
        <v>1</v>
      </c>
      <c r="T263" s="237">
        <f>B262</f>
        <v>255</v>
      </c>
      <c r="U263" s="238" t="s">
        <v>23</v>
      </c>
      <c r="V263" s="237">
        <f t="shared" ref="V263:V323" si="512">M263</f>
        <v>8.5</v>
      </c>
      <c r="W263" s="238" t="s">
        <v>24</v>
      </c>
      <c r="X263" s="237">
        <f t="shared" ref="X263" si="513">N263</f>
        <v>12.75</v>
      </c>
      <c r="Y263" s="238" t="s">
        <v>13</v>
      </c>
      <c r="Z263" s="237">
        <f t="shared" si="475"/>
        <v>3.1875</v>
      </c>
      <c r="AA263" s="238" t="s">
        <v>4</v>
      </c>
      <c r="AB263" s="238">
        <f t="shared" ref="AB263" si="514">P263</f>
        <v>157.25</v>
      </c>
      <c r="AC263" s="239" t="str">
        <f>R263</f>
        <v>شیر 3% چربی</v>
      </c>
      <c r="AD263" s="26" t="s">
        <v>11</v>
      </c>
      <c r="AE263" s="27" t="s">
        <v>12</v>
      </c>
      <c r="AF263" s="28" t="s">
        <v>13</v>
      </c>
      <c r="AG263" s="29" t="s">
        <v>4</v>
      </c>
    </row>
    <row r="264" spans="1:33" ht="12.75" customHeight="1">
      <c r="A264" s="27" t="s">
        <v>41</v>
      </c>
      <c r="B264" s="27">
        <v>256</v>
      </c>
      <c r="C264" s="27" t="s">
        <v>83</v>
      </c>
      <c r="D264" s="139">
        <f t="shared" ref="D264" si="515">B264/250</f>
        <v>1.024</v>
      </c>
      <c r="E264" s="140">
        <f>P265</f>
        <v>132.26666666666665</v>
      </c>
      <c r="F264" s="141"/>
      <c r="G264" s="142"/>
      <c r="H264" s="142"/>
      <c r="I264" s="142"/>
      <c r="J264" s="142"/>
      <c r="K264" s="142"/>
      <c r="L264" s="143"/>
      <c r="M264" s="9" t="s">
        <v>11</v>
      </c>
      <c r="N264" s="9" t="s">
        <v>12</v>
      </c>
      <c r="O264" s="9" t="s">
        <v>13</v>
      </c>
      <c r="P264" s="9" t="s">
        <v>4</v>
      </c>
      <c r="R264" s="236"/>
      <c r="S264" s="232"/>
      <c r="T264" s="230"/>
      <c r="U264" s="232"/>
      <c r="V264" s="230"/>
      <c r="W264" s="232"/>
      <c r="X264" s="230"/>
      <c r="Y264" s="232"/>
      <c r="Z264" s="230"/>
      <c r="AA264" s="232"/>
      <c r="AB264" s="232"/>
      <c r="AC264" s="234"/>
      <c r="AD264" s="26">
        <f>VLOOKUP(AC265,R265:AB266,5,0)</f>
        <v>8.5333333333333332</v>
      </c>
      <c r="AE264" s="27">
        <f>VLOOKUP(AC265,R265:AB266,7,0)</f>
        <v>12.8</v>
      </c>
      <c r="AF264" s="28">
        <f>VLOOKUP(AC265,R265:AB266,9,0)</f>
        <v>2.1333333333333333</v>
      </c>
      <c r="AG264" s="29">
        <f>VLOOKUP(AC265,R265:AB266,11,0)</f>
        <v>132.26666666666665</v>
      </c>
    </row>
    <row r="265" spans="1:33" ht="12.75" customHeight="1">
      <c r="A265" s="27" t="s">
        <v>0</v>
      </c>
      <c r="B265" s="27" t="s">
        <v>1</v>
      </c>
      <c r="C265" s="27" t="s">
        <v>2</v>
      </c>
      <c r="D265" s="139" t="s">
        <v>3</v>
      </c>
      <c r="E265" s="140" t="s">
        <v>4</v>
      </c>
      <c r="F265" s="141"/>
      <c r="G265" s="142"/>
      <c r="H265" s="142"/>
      <c r="I265" s="142"/>
      <c r="J265" s="142"/>
      <c r="K265" s="142"/>
      <c r="L265" s="143"/>
      <c r="M265" s="21">
        <f>B264/240*8</f>
        <v>8.5333333333333332</v>
      </c>
      <c r="N265" s="21">
        <f>B264/240*12</f>
        <v>12.8</v>
      </c>
      <c r="O265" s="21">
        <f>B264/240*2</f>
        <v>2.1333333333333333</v>
      </c>
      <c r="P265" s="21">
        <f>B264/240*124</f>
        <v>132.26666666666665</v>
      </c>
      <c r="R265" s="241" t="str">
        <f>A264</f>
        <v>شیر 2% چربی</v>
      </c>
      <c r="S265" s="238" t="s">
        <v>1</v>
      </c>
      <c r="T265" s="237">
        <f>B264</f>
        <v>256</v>
      </c>
      <c r="U265" s="238" t="s">
        <v>23</v>
      </c>
      <c r="V265" s="237">
        <f t="shared" ref="V265:V325" si="516">M265</f>
        <v>8.5333333333333332</v>
      </c>
      <c r="W265" s="238" t="s">
        <v>24</v>
      </c>
      <c r="X265" s="237">
        <f t="shared" ref="X265" si="517">N265</f>
        <v>12.8</v>
      </c>
      <c r="Y265" s="238" t="s">
        <v>13</v>
      </c>
      <c r="Z265" s="237">
        <f t="shared" si="480"/>
        <v>2.1333333333333333</v>
      </c>
      <c r="AA265" s="238" t="s">
        <v>4</v>
      </c>
      <c r="AB265" s="238">
        <f t="shared" ref="AB265" si="518">P265</f>
        <v>132.26666666666665</v>
      </c>
      <c r="AC265" s="239" t="str">
        <f>R265</f>
        <v>شیر 2% چربی</v>
      </c>
      <c r="AD265" s="26" t="s">
        <v>11</v>
      </c>
      <c r="AE265" s="27" t="s">
        <v>12</v>
      </c>
      <c r="AF265" s="28" t="s">
        <v>13</v>
      </c>
      <c r="AG265" s="29" t="s">
        <v>4</v>
      </c>
    </row>
    <row r="266" spans="1:33" ht="12.75" customHeight="1">
      <c r="A266" s="27" t="s">
        <v>308</v>
      </c>
      <c r="B266" s="27">
        <v>257</v>
      </c>
      <c r="C266" s="27" t="s">
        <v>83</v>
      </c>
      <c r="D266" s="139">
        <f t="shared" ref="D266" si="519">B266/250</f>
        <v>1.028</v>
      </c>
      <c r="E266" s="140">
        <f>P267</f>
        <v>121.00416666666666</v>
      </c>
      <c r="F266" s="141"/>
      <c r="G266" s="142"/>
      <c r="H266" s="142"/>
      <c r="I266" s="142"/>
      <c r="J266" s="142"/>
      <c r="K266" s="142"/>
      <c r="L266" s="143"/>
      <c r="M266" s="9" t="s">
        <v>11</v>
      </c>
      <c r="N266" s="9" t="s">
        <v>12</v>
      </c>
      <c r="O266" s="9" t="s">
        <v>13</v>
      </c>
      <c r="P266" s="9" t="s">
        <v>4</v>
      </c>
      <c r="R266" s="236"/>
      <c r="S266" s="232"/>
      <c r="T266" s="230"/>
      <c r="U266" s="232"/>
      <c r="V266" s="230"/>
      <c r="W266" s="232"/>
      <c r="X266" s="230"/>
      <c r="Y266" s="232"/>
      <c r="Z266" s="230"/>
      <c r="AA266" s="232"/>
      <c r="AB266" s="232"/>
      <c r="AC266" s="234"/>
      <c r="AD266" s="26">
        <f>VLOOKUP(AC267,R267:AB268,5,0)</f>
        <v>8.5666666666666664</v>
      </c>
      <c r="AE266" s="27">
        <f>VLOOKUP(AC267,R267:AB268,7,0)</f>
        <v>12.85</v>
      </c>
      <c r="AF266" s="28">
        <f>VLOOKUP(AC267,R267:AB268,9,0)</f>
        <v>1.60625</v>
      </c>
      <c r="AG266" s="29">
        <f>VLOOKUP(AC267,R267:AB268,11,0)</f>
        <v>121.00416666666666</v>
      </c>
    </row>
    <row r="267" spans="1:33" ht="12.75" customHeight="1">
      <c r="A267" s="27" t="s">
        <v>0</v>
      </c>
      <c r="B267" s="27" t="s">
        <v>1</v>
      </c>
      <c r="C267" s="27" t="s">
        <v>2</v>
      </c>
      <c r="D267" s="139" t="s">
        <v>3</v>
      </c>
      <c r="E267" s="140" t="s">
        <v>4</v>
      </c>
      <c r="F267" s="141"/>
      <c r="G267" s="142"/>
      <c r="H267" s="142"/>
      <c r="I267" s="142"/>
      <c r="J267" s="142"/>
      <c r="K267" s="142"/>
      <c r="L267" s="143"/>
      <c r="M267" s="21">
        <f>B266/240*8</f>
        <v>8.5666666666666664</v>
      </c>
      <c r="N267" s="21">
        <f>B266/240*12</f>
        <v>12.85</v>
      </c>
      <c r="O267" s="21">
        <f>B266/240*1.5</f>
        <v>1.60625</v>
      </c>
      <c r="P267" s="21">
        <f>B266/240*113</f>
        <v>121.00416666666666</v>
      </c>
      <c r="R267" s="241" t="str">
        <f>A266</f>
        <v>شیر 1.5% چربی</v>
      </c>
      <c r="S267" s="238" t="s">
        <v>1</v>
      </c>
      <c r="T267" s="237">
        <f>B266</f>
        <v>257</v>
      </c>
      <c r="U267" s="238" t="s">
        <v>23</v>
      </c>
      <c r="V267" s="237">
        <f t="shared" ref="V267:V327" si="520">M267</f>
        <v>8.5666666666666664</v>
      </c>
      <c r="W267" s="238" t="s">
        <v>24</v>
      </c>
      <c r="X267" s="237">
        <f t="shared" ref="X267" si="521">N267</f>
        <v>12.85</v>
      </c>
      <c r="Y267" s="238" t="s">
        <v>13</v>
      </c>
      <c r="Z267" s="237">
        <f t="shared" si="485"/>
        <v>1.60625</v>
      </c>
      <c r="AA267" s="238" t="s">
        <v>4</v>
      </c>
      <c r="AB267" s="238">
        <f t="shared" ref="AB267" si="522">P267</f>
        <v>121.00416666666666</v>
      </c>
      <c r="AC267" s="239" t="str">
        <f>R267</f>
        <v>شیر 1.5% چربی</v>
      </c>
      <c r="AD267" s="26" t="s">
        <v>11</v>
      </c>
      <c r="AE267" s="27" t="s">
        <v>12</v>
      </c>
      <c r="AF267" s="28" t="s">
        <v>13</v>
      </c>
      <c r="AG267" s="29" t="s">
        <v>4</v>
      </c>
    </row>
    <row r="268" spans="1:33" ht="12.75" customHeight="1">
      <c r="A268" s="27" t="s">
        <v>309</v>
      </c>
      <c r="B268" s="27">
        <v>258</v>
      </c>
      <c r="C268" s="27" t="s">
        <v>83</v>
      </c>
      <c r="D268" s="139">
        <f t="shared" ref="D268" si="523">B268/250</f>
        <v>1.032</v>
      </c>
      <c r="E268" s="140">
        <f>P269</f>
        <v>92.45</v>
      </c>
      <c r="F268" s="141"/>
      <c r="G268" s="142"/>
      <c r="H268" s="142"/>
      <c r="I268" s="142"/>
      <c r="J268" s="142"/>
      <c r="K268" s="142"/>
      <c r="L268" s="143"/>
      <c r="M268" s="9" t="s">
        <v>11</v>
      </c>
      <c r="N268" s="9" t="s">
        <v>12</v>
      </c>
      <c r="O268" s="9" t="s">
        <v>13</v>
      </c>
      <c r="P268" s="9" t="s">
        <v>4</v>
      </c>
      <c r="R268" s="236"/>
      <c r="S268" s="232"/>
      <c r="T268" s="230"/>
      <c r="U268" s="232"/>
      <c r="V268" s="230"/>
      <c r="W268" s="232"/>
      <c r="X268" s="230"/>
      <c r="Y268" s="232"/>
      <c r="Z268" s="230"/>
      <c r="AA268" s="232"/>
      <c r="AB268" s="232"/>
      <c r="AC268" s="234"/>
      <c r="AD268" s="26">
        <f>VLOOKUP(AC269,R269:AB270,5,0)</f>
        <v>8.6</v>
      </c>
      <c r="AE268" s="27">
        <f>VLOOKUP(AC269,R269:AB270,7,0)</f>
        <v>12.899999999999999</v>
      </c>
      <c r="AF268" s="28">
        <f>VLOOKUP(AC269,R269:AB270,9,0)</f>
        <v>0</v>
      </c>
      <c r="AG268" s="29">
        <f>VLOOKUP(AC269,R269:AB270,11,0)</f>
        <v>92.45</v>
      </c>
    </row>
    <row r="269" spans="1:33" ht="12.75" customHeight="1">
      <c r="A269" s="27" t="s">
        <v>0</v>
      </c>
      <c r="B269" s="27" t="s">
        <v>1</v>
      </c>
      <c r="C269" s="27" t="s">
        <v>2</v>
      </c>
      <c r="D269" s="139" t="s">
        <v>3</v>
      </c>
      <c r="E269" s="140" t="s">
        <v>4</v>
      </c>
      <c r="F269" s="141" t="s">
        <v>310</v>
      </c>
      <c r="G269" s="142" t="s">
        <v>291</v>
      </c>
      <c r="H269" s="142" t="s">
        <v>340</v>
      </c>
      <c r="I269" s="142"/>
      <c r="J269" s="142"/>
      <c r="K269" s="142"/>
      <c r="L269" s="143"/>
      <c r="M269" s="21">
        <f>B268/240*8</f>
        <v>8.6</v>
      </c>
      <c r="N269" s="21">
        <f>B268/240*12</f>
        <v>12.899999999999999</v>
      </c>
      <c r="O269" s="21">
        <v>0</v>
      </c>
      <c r="P269" s="21">
        <f>B268/240*86</f>
        <v>92.45</v>
      </c>
      <c r="R269" s="241" t="str">
        <f>A268</f>
        <v>شیر بدون چربی</v>
      </c>
      <c r="S269" s="238" t="s">
        <v>1</v>
      </c>
      <c r="T269" s="237">
        <f>B268</f>
        <v>258</v>
      </c>
      <c r="U269" s="238" t="s">
        <v>23</v>
      </c>
      <c r="V269" s="237">
        <f t="shared" ref="V269" si="524">M269</f>
        <v>8.6</v>
      </c>
      <c r="W269" s="238" t="s">
        <v>24</v>
      </c>
      <c r="X269" s="237">
        <f t="shared" ref="X269" si="525">N269</f>
        <v>12.899999999999999</v>
      </c>
      <c r="Y269" s="238" t="s">
        <v>13</v>
      </c>
      <c r="Z269" s="237">
        <f t="shared" si="489"/>
        <v>0</v>
      </c>
      <c r="AA269" s="238" t="s">
        <v>4</v>
      </c>
      <c r="AB269" s="238">
        <f t="shared" ref="AB269" si="526">P269</f>
        <v>92.45</v>
      </c>
      <c r="AC269" s="239" t="str">
        <f>R269</f>
        <v>شیر بدون چربی</v>
      </c>
      <c r="AD269" s="26" t="s">
        <v>11</v>
      </c>
      <c r="AE269" s="27" t="s">
        <v>12</v>
      </c>
      <c r="AF269" s="28" t="s">
        <v>13</v>
      </c>
      <c r="AG269" s="29" t="s">
        <v>4</v>
      </c>
    </row>
    <row r="270" spans="1:33" ht="12.75" customHeight="1">
      <c r="A270" s="27" t="s">
        <v>311</v>
      </c>
      <c r="B270" s="27">
        <v>259</v>
      </c>
      <c r="C270" s="27" t="s">
        <v>83</v>
      </c>
      <c r="D270" s="139">
        <f t="shared" ref="D270" si="527">B270/250</f>
        <v>1.036</v>
      </c>
      <c r="E270" s="140">
        <f>P271</f>
        <v>224.46666666666667</v>
      </c>
      <c r="F270" s="141"/>
      <c r="G270" s="142">
        <f>B270/240*60</f>
        <v>64.75</v>
      </c>
      <c r="H270" s="142">
        <f>B270/240</f>
        <v>1.0791666666666666</v>
      </c>
      <c r="I270" s="142"/>
      <c r="J270" s="142"/>
      <c r="K270" s="142"/>
      <c r="L270" s="143"/>
      <c r="M270" s="9" t="s">
        <v>11</v>
      </c>
      <c r="N270" s="9" t="s">
        <v>12</v>
      </c>
      <c r="O270" s="9" t="s">
        <v>13</v>
      </c>
      <c r="P270" s="9" t="s">
        <v>4</v>
      </c>
      <c r="R270" s="236"/>
      <c r="S270" s="232"/>
      <c r="T270" s="230"/>
      <c r="U270" s="232"/>
      <c r="V270" s="230"/>
      <c r="W270" s="232"/>
      <c r="X270" s="230"/>
      <c r="Y270" s="232"/>
      <c r="Z270" s="230"/>
      <c r="AA270" s="232"/>
      <c r="AB270" s="232"/>
      <c r="AC270" s="234"/>
      <c r="AD270" s="26">
        <f>VLOOKUP(AC271,R271:AB272,5,0)</f>
        <v>8.6333333333333329</v>
      </c>
      <c r="AE270" s="27">
        <f>VLOOKUP(AC271,R271:AB272,7,0)</f>
        <v>18.345833333333331</v>
      </c>
      <c r="AF270" s="28">
        <f>VLOOKUP(AC271,R271:AB272,9,0)</f>
        <v>3.2374999999999998</v>
      </c>
      <c r="AG270" s="29">
        <f>VLOOKUP(AC271,R271:AB272,11,0)</f>
        <v>224.46666666666667</v>
      </c>
    </row>
    <row r="271" spans="1:33" ht="12.75" customHeight="1">
      <c r="A271" s="27" t="s">
        <v>0</v>
      </c>
      <c r="B271" s="27" t="s">
        <v>1</v>
      </c>
      <c r="C271" s="27" t="s">
        <v>2</v>
      </c>
      <c r="D271" s="139" t="s">
        <v>3</v>
      </c>
      <c r="E271" s="140" t="s">
        <v>4</v>
      </c>
      <c r="F271" s="141"/>
      <c r="G271" s="142"/>
      <c r="H271" s="142"/>
      <c r="I271" s="142"/>
      <c r="J271" s="142"/>
      <c r="K271" s="142"/>
      <c r="L271" s="143"/>
      <c r="M271" s="21">
        <f>B270/240*8</f>
        <v>8.6333333333333329</v>
      </c>
      <c r="N271" s="21">
        <f>B270/240*12+G270/60*5</f>
        <v>18.345833333333331</v>
      </c>
      <c r="O271" s="21">
        <f>B270/240*3</f>
        <v>3.2374999999999998</v>
      </c>
      <c r="P271" s="21">
        <f>B270/240*148+G270/60*60</f>
        <v>224.46666666666667</v>
      </c>
      <c r="R271" s="241" t="str">
        <f>A270</f>
        <v>شیر موز</v>
      </c>
      <c r="S271" s="238" t="s">
        <v>1</v>
      </c>
      <c r="T271" s="237">
        <f>B270</f>
        <v>259</v>
      </c>
      <c r="U271" s="238" t="s">
        <v>23</v>
      </c>
      <c r="V271" s="237">
        <f t="shared" si="473"/>
        <v>8.6333333333333329</v>
      </c>
      <c r="W271" s="238" t="s">
        <v>24</v>
      </c>
      <c r="X271" s="237">
        <f t="shared" ref="X271" si="528">N271</f>
        <v>18.345833333333331</v>
      </c>
      <c r="Y271" s="238" t="s">
        <v>13</v>
      </c>
      <c r="Z271" s="237">
        <f t="shared" si="494"/>
        <v>3.2374999999999998</v>
      </c>
      <c r="AA271" s="238" t="s">
        <v>4</v>
      </c>
      <c r="AB271" s="238">
        <f t="shared" ref="AB271" si="529">P271</f>
        <v>224.46666666666667</v>
      </c>
      <c r="AC271" s="239" t="str">
        <f>R271</f>
        <v>شیر موز</v>
      </c>
      <c r="AD271" s="26" t="s">
        <v>11</v>
      </c>
      <c r="AE271" s="27" t="s">
        <v>12</v>
      </c>
      <c r="AF271" s="28" t="s">
        <v>13</v>
      </c>
      <c r="AG271" s="29" t="s">
        <v>4</v>
      </c>
    </row>
    <row r="272" spans="1:33" ht="12.75" customHeight="1">
      <c r="A272" s="27" t="s">
        <v>312</v>
      </c>
      <c r="B272" s="27">
        <v>260</v>
      </c>
      <c r="C272" s="27" t="s">
        <v>83</v>
      </c>
      <c r="D272" s="139">
        <f t="shared" ref="D272" si="530">B272/250</f>
        <v>1.04</v>
      </c>
      <c r="E272" s="165">
        <f>P273</f>
        <v>598</v>
      </c>
      <c r="F272" s="141"/>
      <c r="G272" s="142"/>
      <c r="H272" s="142"/>
      <c r="I272" s="142"/>
      <c r="J272" s="142"/>
      <c r="K272" s="142"/>
      <c r="L272" s="143"/>
      <c r="M272" s="9" t="s">
        <v>11</v>
      </c>
      <c r="N272" s="9" t="s">
        <v>12</v>
      </c>
      <c r="O272" s="9" t="s">
        <v>13</v>
      </c>
      <c r="P272" s="9" t="s">
        <v>4</v>
      </c>
      <c r="R272" s="236"/>
      <c r="S272" s="232"/>
      <c r="T272" s="230"/>
      <c r="U272" s="232"/>
      <c r="V272" s="230"/>
      <c r="W272" s="232"/>
      <c r="X272" s="230"/>
      <c r="Y272" s="232"/>
      <c r="Z272" s="230"/>
      <c r="AA272" s="232"/>
      <c r="AB272" s="232"/>
      <c r="AC272" s="234"/>
      <c r="AD272" s="26">
        <f>VLOOKUP(AC273,R273:AB274,5,0)</f>
        <v>5.4166666666666661</v>
      </c>
      <c r="AE272" s="27">
        <f>VLOOKUP(AC273,R273:AB274,7,0)</f>
        <v>15.600000000000001</v>
      </c>
      <c r="AF272" s="28">
        <f>VLOOKUP(AC273,R273:AB274,9,0)</f>
        <v>60.666666666666664</v>
      </c>
      <c r="AG272" s="29">
        <f>VLOOKUP(AC273,R273:AB274,11,0)</f>
        <v>598</v>
      </c>
    </row>
    <row r="273" spans="1:33" ht="12.75" customHeight="1">
      <c r="A273" s="27" t="s">
        <v>0</v>
      </c>
      <c r="B273" s="27" t="s">
        <v>1</v>
      </c>
      <c r="C273" s="27" t="s">
        <v>2</v>
      </c>
      <c r="D273" s="139" t="s">
        <v>3</v>
      </c>
      <c r="E273" s="140" t="s">
        <v>4</v>
      </c>
      <c r="F273" s="141"/>
      <c r="G273" s="142"/>
      <c r="H273" s="142"/>
      <c r="I273" s="142"/>
      <c r="J273" s="142"/>
      <c r="K273" s="142"/>
      <c r="L273" s="143"/>
      <c r="M273" s="21">
        <f>B272/240*5</f>
        <v>5.4166666666666661</v>
      </c>
      <c r="N273" s="21">
        <f>B272/100*6</f>
        <v>15.600000000000001</v>
      </c>
      <c r="O273" s="21">
        <f>B272/240*56</f>
        <v>60.666666666666664</v>
      </c>
      <c r="P273" s="21">
        <f>B272/240*552</f>
        <v>598</v>
      </c>
      <c r="R273" s="241" t="str">
        <f>A272</f>
        <v>شیر نارگیل</v>
      </c>
      <c r="S273" s="238" t="s">
        <v>1</v>
      </c>
      <c r="T273" s="237">
        <f>B272</f>
        <v>260</v>
      </c>
      <c r="U273" s="238" t="s">
        <v>23</v>
      </c>
      <c r="V273" s="237">
        <f t="shared" si="478"/>
        <v>5.4166666666666661</v>
      </c>
      <c r="W273" s="238" t="s">
        <v>24</v>
      </c>
      <c r="X273" s="237">
        <f t="shared" ref="X273" si="531">N273</f>
        <v>15.600000000000001</v>
      </c>
      <c r="Y273" s="238" t="s">
        <v>13</v>
      </c>
      <c r="Z273" s="237">
        <f t="shared" si="499"/>
        <v>60.666666666666664</v>
      </c>
      <c r="AA273" s="238" t="s">
        <v>4</v>
      </c>
      <c r="AB273" s="238">
        <f t="shared" ref="AB273" si="532">P273</f>
        <v>598</v>
      </c>
      <c r="AC273" s="239" t="str">
        <f>R273</f>
        <v>شیر نارگیل</v>
      </c>
      <c r="AD273" s="26" t="s">
        <v>11</v>
      </c>
      <c r="AE273" s="27" t="s">
        <v>12</v>
      </c>
      <c r="AF273" s="28" t="s">
        <v>13</v>
      </c>
      <c r="AG273" s="29" t="s">
        <v>4</v>
      </c>
    </row>
    <row r="274" spans="1:33" ht="12.75" customHeight="1">
      <c r="A274" s="27" t="s">
        <v>313</v>
      </c>
      <c r="B274" s="27">
        <v>250</v>
      </c>
      <c r="C274" s="27" t="s">
        <v>83</v>
      </c>
      <c r="D274" s="139">
        <f t="shared" ref="D274" si="533">B274/250</f>
        <v>1</v>
      </c>
      <c r="E274" s="140">
        <f>P275</f>
        <v>135</v>
      </c>
      <c r="F274" s="141"/>
      <c r="G274" s="142"/>
      <c r="H274" s="142"/>
      <c r="I274" s="142"/>
      <c r="J274" s="142"/>
      <c r="K274" s="142"/>
      <c r="L274" s="143"/>
      <c r="M274" s="9" t="s">
        <v>11</v>
      </c>
      <c r="N274" s="9" t="s">
        <v>12</v>
      </c>
      <c r="O274" s="9" t="s">
        <v>13</v>
      </c>
      <c r="P274" s="9" t="s">
        <v>4</v>
      </c>
      <c r="R274" s="236"/>
      <c r="S274" s="232"/>
      <c r="T274" s="230"/>
      <c r="U274" s="232"/>
      <c r="V274" s="230"/>
      <c r="W274" s="232"/>
      <c r="X274" s="230"/>
      <c r="Y274" s="232"/>
      <c r="Z274" s="230"/>
      <c r="AA274" s="232"/>
      <c r="AB274" s="232"/>
      <c r="AC274" s="234"/>
      <c r="AD274" s="26">
        <f>VLOOKUP(AC275,R275:AB276,5,0)</f>
        <v>8.25</v>
      </c>
      <c r="AE274" s="27">
        <f>VLOOKUP(AC275,R275:AB276,7,0)</f>
        <v>15</v>
      </c>
      <c r="AF274" s="28">
        <f>VLOOKUP(AC275,R275:AB276,9,0)</f>
        <v>4.5</v>
      </c>
      <c r="AG274" s="29">
        <f>VLOOKUP(AC275,R275:AB276,11,0)</f>
        <v>135</v>
      </c>
    </row>
    <row r="275" spans="1:33" ht="12.75" customHeight="1">
      <c r="A275" s="27" t="s">
        <v>0</v>
      </c>
      <c r="B275" s="27" t="s">
        <v>1</v>
      </c>
      <c r="C275" s="27" t="s">
        <v>2</v>
      </c>
      <c r="D275" s="139" t="s">
        <v>3</v>
      </c>
      <c r="E275" s="140" t="s">
        <v>4</v>
      </c>
      <c r="F275" s="141"/>
      <c r="G275" s="142"/>
      <c r="H275" s="142"/>
      <c r="I275" s="142"/>
      <c r="J275" s="142"/>
      <c r="K275" s="142"/>
      <c r="L275" s="143"/>
      <c r="M275" s="21">
        <f>B274/100*3.3</f>
        <v>8.25</v>
      </c>
      <c r="N275" s="21">
        <f>B274/100*6</f>
        <v>15</v>
      </c>
      <c r="O275" s="21">
        <f>B274/100*1.8</f>
        <v>4.5</v>
      </c>
      <c r="P275" s="21">
        <f>B274/100*54</f>
        <v>135</v>
      </c>
      <c r="R275" s="241" t="str">
        <f>A274</f>
        <v>شیر سویا</v>
      </c>
      <c r="S275" s="238" t="s">
        <v>1</v>
      </c>
      <c r="T275" s="237">
        <f>B274</f>
        <v>250</v>
      </c>
      <c r="U275" s="238" t="s">
        <v>23</v>
      </c>
      <c r="V275" s="237">
        <f t="shared" si="483"/>
        <v>8.25</v>
      </c>
      <c r="W275" s="238" t="s">
        <v>24</v>
      </c>
      <c r="X275" s="237">
        <f t="shared" ref="X275:X287" si="534">N275</f>
        <v>15</v>
      </c>
      <c r="Y275" s="238" t="s">
        <v>13</v>
      </c>
      <c r="Z275" s="237">
        <f t="shared" si="504"/>
        <v>4.5</v>
      </c>
      <c r="AA275" s="238" t="s">
        <v>4</v>
      </c>
      <c r="AB275" s="238">
        <f t="shared" ref="AB275:AB287" si="535">P275</f>
        <v>135</v>
      </c>
      <c r="AC275" s="239" t="str">
        <f>R275</f>
        <v>شیر سویا</v>
      </c>
      <c r="AD275" s="26" t="s">
        <v>11</v>
      </c>
      <c r="AE275" s="27" t="s">
        <v>12</v>
      </c>
      <c r="AF275" s="28" t="s">
        <v>13</v>
      </c>
      <c r="AG275" s="29" t="s">
        <v>4</v>
      </c>
    </row>
    <row r="276" spans="1:33" ht="12.75" customHeight="1">
      <c r="A276" s="27" t="s">
        <v>314</v>
      </c>
      <c r="B276" s="27">
        <v>100</v>
      </c>
      <c r="C276" s="27" t="s">
        <v>89</v>
      </c>
      <c r="D276" s="139">
        <f>B276/30</f>
        <v>3.3333333333333335</v>
      </c>
      <c r="E276" s="140">
        <f>B276*2.64</f>
        <v>264</v>
      </c>
      <c r="F276" s="141"/>
      <c r="G276" s="142"/>
      <c r="H276" s="142"/>
      <c r="I276" s="142"/>
      <c r="J276" s="142"/>
      <c r="K276" s="142"/>
      <c r="L276" s="143"/>
      <c r="M276" s="9" t="s">
        <v>11</v>
      </c>
      <c r="N276" s="9" t="s">
        <v>12</v>
      </c>
      <c r="O276" s="9" t="s">
        <v>13</v>
      </c>
      <c r="P276" s="9" t="s">
        <v>4</v>
      </c>
      <c r="R276" s="236"/>
      <c r="S276" s="232"/>
      <c r="T276" s="230"/>
      <c r="U276" s="232"/>
      <c r="V276" s="230"/>
      <c r="W276" s="232"/>
      <c r="X276" s="230"/>
      <c r="Y276" s="232"/>
      <c r="Z276" s="230"/>
      <c r="AA276" s="232"/>
      <c r="AB276" s="232"/>
      <c r="AC276" s="234"/>
      <c r="AD276" s="26">
        <f>VLOOKUP(AC277,R277:AB278,5,0)</f>
        <v>6</v>
      </c>
      <c r="AE276" s="27">
        <f>VLOOKUP(AC277,R277:AB278,7,0)</f>
        <v>4</v>
      </c>
      <c r="AF276" s="28">
        <f>VLOOKUP(AC277,R277:AB278,9,0)</f>
        <v>24</v>
      </c>
      <c r="AG276" s="29">
        <f>VLOOKUP(AC277,R277:AB278,11,0)</f>
        <v>264</v>
      </c>
    </row>
    <row r="277" spans="1:33" ht="15" customHeight="1">
      <c r="A277" s="27" t="s">
        <v>0</v>
      </c>
      <c r="B277" s="27" t="s">
        <v>1</v>
      </c>
      <c r="C277" s="27" t="s">
        <v>2</v>
      </c>
      <c r="D277" s="139" t="s">
        <v>3</v>
      </c>
      <c r="E277" s="140" t="s">
        <v>4</v>
      </c>
      <c r="F277" s="141"/>
      <c r="G277" s="142"/>
      <c r="H277" s="142"/>
      <c r="I277" s="142"/>
      <c r="J277" s="142"/>
      <c r="K277" s="142"/>
      <c r="L277" s="143"/>
      <c r="M277" s="21">
        <f>B276*0.06</f>
        <v>6</v>
      </c>
      <c r="N277" s="21">
        <f>B276*0.04</f>
        <v>4</v>
      </c>
      <c r="O277" s="21">
        <f>B276*0.24</f>
        <v>24</v>
      </c>
      <c r="P277" s="21">
        <f>B276*2.64</f>
        <v>264</v>
      </c>
      <c r="R277" s="241" t="str">
        <f>A276</f>
        <v>پنیر خامه ای</v>
      </c>
      <c r="S277" s="238" t="s">
        <v>1</v>
      </c>
      <c r="T277" s="237">
        <f>B276</f>
        <v>100</v>
      </c>
      <c r="U277" s="238" t="s">
        <v>23</v>
      </c>
      <c r="V277" s="237">
        <f t="shared" si="483"/>
        <v>6</v>
      </c>
      <c r="W277" s="238" t="s">
        <v>24</v>
      </c>
      <c r="X277" s="237">
        <f t="shared" si="534"/>
        <v>4</v>
      </c>
      <c r="Y277" s="238" t="s">
        <v>13</v>
      </c>
      <c r="Z277" s="237">
        <f t="shared" si="504"/>
        <v>24</v>
      </c>
      <c r="AA277" s="238" t="s">
        <v>4</v>
      </c>
      <c r="AB277" s="238">
        <f t="shared" si="535"/>
        <v>264</v>
      </c>
      <c r="AC277" s="239" t="str">
        <f>A276</f>
        <v>پنیر خامه ای</v>
      </c>
      <c r="AD277" s="26" t="s">
        <v>11</v>
      </c>
      <c r="AE277" s="27" t="s">
        <v>12</v>
      </c>
      <c r="AF277" s="28" t="s">
        <v>13</v>
      </c>
      <c r="AG277" s="29" t="s">
        <v>4</v>
      </c>
    </row>
    <row r="278" spans="1:33" ht="15" customHeight="1">
      <c r="A278" s="27" t="s">
        <v>315</v>
      </c>
      <c r="B278" s="27">
        <v>100</v>
      </c>
      <c r="C278" s="27" t="s">
        <v>89</v>
      </c>
      <c r="D278" s="139">
        <f t="shared" ref="D278" si="536">B278/30</f>
        <v>3.3333333333333335</v>
      </c>
      <c r="E278" s="140">
        <f>B278*2.5</f>
        <v>250</v>
      </c>
      <c r="F278" s="141"/>
      <c r="G278" s="142"/>
      <c r="H278" s="142"/>
      <c r="I278" s="142"/>
      <c r="J278" s="142"/>
      <c r="K278" s="142"/>
      <c r="L278" s="143"/>
      <c r="M278" s="9" t="s">
        <v>11</v>
      </c>
      <c r="N278" s="9" t="s">
        <v>12</v>
      </c>
      <c r="O278" s="9" t="s">
        <v>13</v>
      </c>
      <c r="P278" s="9" t="s">
        <v>4</v>
      </c>
      <c r="R278" s="236"/>
      <c r="S278" s="232"/>
      <c r="T278" s="230"/>
      <c r="U278" s="232"/>
      <c r="V278" s="230"/>
      <c r="W278" s="232"/>
      <c r="X278" s="230"/>
      <c r="Y278" s="232"/>
      <c r="Z278" s="230"/>
      <c r="AA278" s="232"/>
      <c r="AB278" s="232"/>
      <c r="AC278" s="234"/>
      <c r="AD278" s="26">
        <f>VLOOKUP(AC279,R279:AB280,5,0)</f>
        <v>15</v>
      </c>
      <c r="AE278" s="27">
        <f>VLOOKUP(AC279,R279:AB280,7,0)</f>
        <v>1.5</v>
      </c>
      <c r="AF278" s="28">
        <f>VLOOKUP(AC279,R279:AB280,9,0)</f>
        <v>20</v>
      </c>
      <c r="AG278" s="29">
        <f>VLOOKUP(AC279,R279:AB280,11,0)</f>
        <v>250</v>
      </c>
    </row>
    <row r="279" spans="1:33" ht="12.75" customHeight="1">
      <c r="A279" s="27" t="s">
        <v>0</v>
      </c>
      <c r="B279" s="27" t="s">
        <v>1</v>
      </c>
      <c r="C279" s="27" t="s">
        <v>2</v>
      </c>
      <c r="D279" s="139" t="s">
        <v>3</v>
      </c>
      <c r="E279" s="140" t="s">
        <v>4</v>
      </c>
      <c r="F279" s="141"/>
      <c r="G279" s="142"/>
      <c r="H279" s="142"/>
      <c r="I279" s="142"/>
      <c r="J279" s="142"/>
      <c r="K279" s="142"/>
      <c r="L279" s="143"/>
      <c r="M279" s="21">
        <f>B278*0.15</f>
        <v>15</v>
      </c>
      <c r="N279" s="21">
        <f>B278*0.015</f>
        <v>1.5</v>
      </c>
      <c r="O279" s="21">
        <f>B278*0.2</f>
        <v>20</v>
      </c>
      <c r="P279" s="21">
        <f>B278*2.5</f>
        <v>250</v>
      </c>
      <c r="R279" s="241" t="str">
        <f>A278</f>
        <v>پنیرسفید ایرانی</v>
      </c>
      <c r="S279" s="238" t="s">
        <v>1</v>
      </c>
      <c r="T279" s="237">
        <f>B278</f>
        <v>100</v>
      </c>
      <c r="U279" s="238" t="s">
        <v>23</v>
      </c>
      <c r="V279" s="237">
        <f t="shared" si="483"/>
        <v>15</v>
      </c>
      <c r="W279" s="238" t="s">
        <v>24</v>
      </c>
      <c r="X279" s="237">
        <f t="shared" si="534"/>
        <v>1.5</v>
      </c>
      <c r="Y279" s="238" t="s">
        <v>13</v>
      </c>
      <c r="Z279" s="237">
        <f t="shared" si="504"/>
        <v>20</v>
      </c>
      <c r="AA279" s="238" t="s">
        <v>4</v>
      </c>
      <c r="AB279" s="238">
        <f t="shared" si="535"/>
        <v>250</v>
      </c>
      <c r="AC279" s="239" t="str">
        <f>A278</f>
        <v>پنیرسفید ایرانی</v>
      </c>
      <c r="AD279" s="26" t="s">
        <v>11</v>
      </c>
      <c r="AE279" s="27" t="s">
        <v>12</v>
      </c>
      <c r="AF279" s="28" t="s">
        <v>13</v>
      </c>
      <c r="AG279" s="29" t="s">
        <v>4</v>
      </c>
    </row>
    <row r="280" spans="1:33" ht="12.75" customHeight="1">
      <c r="A280" s="27" t="s">
        <v>316</v>
      </c>
      <c r="B280" s="27">
        <v>100</v>
      </c>
      <c r="C280" s="27" t="s">
        <v>89</v>
      </c>
      <c r="D280" s="139">
        <f t="shared" ref="D280" si="537">B280/30</f>
        <v>3.3333333333333335</v>
      </c>
      <c r="E280" s="140">
        <f>B280*1.93</f>
        <v>193</v>
      </c>
      <c r="F280" s="141"/>
      <c r="G280" s="142"/>
      <c r="H280" s="142"/>
      <c r="I280" s="142"/>
      <c r="J280" s="142"/>
      <c r="K280" s="142"/>
      <c r="L280" s="143"/>
      <c r="M280" s="9" t="s">
        <v>11</v>
      </c>
      <c r="N280" s="9" t="s">
        <v>12</v>
      </c>
      <c r="O280" s="9" t="s">
        <v>13</v>
      </c>
      <c r="P280" s="9" t="s">
        <v>4</v>
      </c>
      <c r="R280" s="236"/>
      <c r="S280" s="232"/>
      <c r="T280" s="230"/>
      <c r="U280" s="232"/>
      <c r="V280" s="230"/>
      <c r="W280" s="232"/>
      <c r="X280" s="230"/>
      <c r="Y280" s="232"/>
      <c r="Z280" s="230"/>
      <c r="AA280" s="232"/>
      <c r="AB280" s="232"/>
      <c r="AC280" s="234"/>
      <c r="AD280" s="26">
        <f>VLOOKUP(AC281,R281:AB282,5,0)</f>
        <v>12</v>
      </c>
      <c r="AE280" s="27">
        <f>VLOOKUP(AC281,R281:AB282,7,0)</f>
        <v>5</v>
      </c>
      <c r="AF280" s="28">
        <f>VLOOKUP(AC281,R281:AB282,9,0)</f>
        <v>14.000000000000002</v>
      </c>
      <c r="AG280" s="29">
        <f>VLOOKUP(AC281,R281:AB282,11,0)</f>
        <v>193</v>
      </c>
    </row>
    <row r="281" spans="1:33" ht="12.75" customHeight="1">
      <c r="A281" s="27" t="s">
        <v>0</v>
      </c>
      <c r="B281" s="27" t="s">
        <v>1</v>
      </c>
      <c r="C281" s="27" t="s">
        <v>2</v>
      </c>
      <c r="D281" s="139" t="s">
        <v>3</v>
      </c>
      <c r="E281" s="140" t="s">
        <v>4</v>
      </c>
      <c r="F281" s="141"/>
      <c r="G281" s="142"/>
      <c r="H281" s="142"/>
      <c r="I281" s="142"/>
      <c r="J281" s="142"/>
      <c r="K281" s="142"/>
      <c r="L281" s="143"/>
      <c r="M281" s="21">
        <f>B280*0.12</f>
        <v>12</v>
      </c>
      <c r="N281" s="21">
        <f>B280*0.05</f>
        <v>5</v>
      </c>
      <c r="O281" s="21">
        <f>B280*0.14</f>
        <v>14.000000000000002</v>
      </c>
      <c r="P281" s="21">
        <f>B280*1.93</f>
        <v>193</v>
      </c>
      <c r="R281" s="241" t="str">
        <f>A280</f>
        <v>پنیر لاکتیکی</v>
      </c>
      <c r="S281" s="238" t="s">
        <v>1</v>
      </c>
      <c r="T281" s="237">
        <f>B280</f>
        <v>100</v>
      </c>
      <c r="U281" s="238" t="s">
        <v>23</v>
      </c>
      <c r="V281" s="237">
        <f t="shared" si="483"/>
        <v>12</v>
      </c>
      <c r="W281" s="238" t="s">
        <v>24</v>
      </c>
      <c r="X281" s="237">
        <f t="shared" si="534"/>
        <v>5</v>
      </c>
      <c r="Y281" s="238" t="s">
        <v>13</v>
      </c>
      <c r="Z281" s="237">
        <f t="shared" si="504"/>
        <v>14.000000000000002</v>
      </c>
      <c r="AA281" s="238" t="s">
        <v>4</v>
      </c>
      <c r="AB281" s="238">
        <f t="shared" si="535"/>
        <v>193</v>
      </c>
      <c r="AC281" s="239" t="str">
        <f>A280</f>
        <v>پنیر لاکتیکی</v>
      </c>
      <c r="AD281" s="26" t="s">
        <v>11</v>
      </c>
      <c r="AE281" s="27" t="s">
        <v>12</v>
      </c>
      <c r="AF281" s="28" t="s">
        <v>13</v>
      </c>
      <c r="AG281" s="29" t="s">
        <v>4</v>
      </c>
    </row>
    <row r="282" spans="1:33" ht="12.75" customHeight="1">
      <c r="A282" s="27" t="s">
        <v>317</v>
      </c>
      <c r="B282" s="27">
        <v>100</v>
      </c>
      <c r="C282" s="27" t="s">
        <v>89</v>
      </c>
      <c r="D282" s="139">
        <f t="shared" ref="D282" si="538">B282/30</f>
        <v>3.3333333333333335</v>
      </c>
      <c r="E282" s="140">
        <f>B282*9.8</f>
        <v>980.00000000000011</v>
      </c>
      <c r="F282" s="141"/>
      <c r="G282" s="142"/>
      <c r="H282" s="142"/>
      <c r="I282" s="142"/>
      <c r="J282" s="142"/>
      <c r="K282" s="142"/>
      <c r="L282" s="143"/>
      <c r="M282" s="9" t="s">
        <v>11</v>
      </c>
      <c r="N282" s="9" t="s">
        <v>12</v>
      </c>
      <c r="O282" s="9" t="s">
        <v>13</v>
      </c>
      <c r="P282" s="9" t="s">
        <v>4</v>
      </c>
      <c r="R282" s="236"/>
      <c r="S282" s="232"/>
      <c r="T282" s="230"/>
      <c r="U282" s="232"/>
      <c r="V282" s="230"/>
      <c r="W282" s="232"/>
      <c r="X282" s="230"/>
      <c r="Y282" s="232"/>
      <c r="Z282" s="230"/>
      <c r="AA282" s="232"/>
      <c r="AB282" s="232"/>
      <c r="AC282" s="234"/>
      <c r="AD282" s="26">
        <f>VLOOKUP(AC283,R283:AB284,5,0)</f>
        <v>11</v>
      </c>
      <c r="AE282" s="27">
        <f>VLOOKUP(AC283,R283:AB284,7,0)</f>
        <v>3.4000000000000004</v>
      </c>
      <c r="AF282" s="28">
        <f>VLOOKUP(AC283,R283:AB284,9,0)</f>
        <v>4.3</v>
      </c>
      <c r="AG282" s="29">
        <f>VLOOKUP(AC283,R283:AB284,11,0)</f>
        <v>98</v>
      </c>
    </row>
    <row r="283" spans="1:33" ht="12.75" customHeight="1">
      <c r="A283" s="27" t="s">
        <v>0</v>
      </c>
      <c r="B283" s="27" t="s">
        <v>1</v>
      </c>
      <c r="C283" s="27" t="s">
        <v>2</v>
      </c>
      <c r="D283" s="139" t="s">
        <v>3</v>
      </c>
      <c r="E283" s="140" t="s">
        <v>4</v>
      </c>
      <c r="F283" s="141"/>
      <c r="G283" s="142"/>
      <c r="H283" s="142"/>
      <c r="I283" s="142"/>
      <c r="J283" s="142"/>
      <c r="K283" s="142"/>
      <c r="L283" s="143"/>
      <c r="M283" s="21">
        <f>B282*0.11</f>
        <v>11</v>
      </c>
      <c r="N283" s="21">
        <f>B282*0.034</f>
        <v>3.4000000000000004</v>
      </c>
      <c r="O283" s="21">
        <f>B282*0.043</f>
        <v>4.3</v>
      </c>
      <c r="P283" s="21">
        <f>B282*0.98</f>
        <v>98</v>
      </c>
      <c r="R283" s="241" t="str">
        <f>A282</f>
        <v>پنیر کاتیج</v>
      </c>
      <c r="S283" s="238" t="s">
        <v>1</v>
      </c>
      <c r="T283" s="237">
        <f>B282</f>
        <v>100</v>
      </c>
      <c r="U283" s="238" t="s">
        <v>23</v>
      </c>
      <c r="V283" s="237">
        <f t="shared" si="483"/>
        <v>11</v>
      </c>
      <c r="W283" s="238" t="s">
        <v>24</v>
      </c>
      <c r="X283" s="237">
        <f t="shared" si="534"/>
        <v>3.4000000000000004</v>
      </c>
      <c r="Y283" s="238" t="s">
        <v>13</v>
      </c>
      <c r="Z283" s="237">
        <f t="shared" si="504"/>
        <v>4.3</v>
      </c>
      <c r="AA283" s="238" t="s">
        <v>4</v>
      </c>
      <c r="AB283" s="238">
        <f t="shared" si="535"/>
        <v>98</v>
      </c>
      <c r="AC283" s="239" t="str">
        <f>A282</f>
        <v>پنیر کاتیج</v>
      </c>
      <c r="AD283" s="26" t="s">
        <v>11</v>
      </c>
      <c r="AE283" s="27" t="s">
        <v>12</v>
      </c>
      <c r="AF283" s="28" t="s">
        <v>13</v>
      </c>
      <c r="AG283" s="29" t="s">
        <v>4</v>
      </c>
    </row>
    <row r="284" spans="1:33" ht="12.75" customHeight="1">
      <c r="A284" s="27" t="s">
        <v>318</v>
      </c>
      <c r="B284" s="27">
        <v>100</v>
      </c>
      <c r="C284" s="27" t="s">
        <v>89</v>
      </c>
      <c r="D284" s="139">
        <f t="shared" ref="D284" si="539">B284/30</f>
        <v>3.3333333333333335</v>
      </c>
      <c r="E284" s="140">
        <f>B284*1.98</f>
        <v>198</v>
      </c>
      <c r="F284" s="141"/>
      <c r="G284" s="142"/>
      <c r="H284" s="142"/>
      <c r="I284" s="142"/>
      <c r="J284" s="142"/>
      <c r="K284" s="142"/>
      <c r="L284" s="143"/>
      <c r="M284" s="9" t="s">
        <v>11</v>
      </c>
      <c r="N284" s="9" t="s">
        <v>12</v>
      </c>
      <c r="O284" s="9" t="s">
        <v>13</v>
      </c>
      <c r="P284" s="9" t="s">
        <v>4</v>
      </c>
      <c r="R284" s="236"/>
      <c r="S284" s="232"/>
      <c r="T284" s="230"/>
      <c r="U284" s="232"/>
      <c r="V284" s="230"/>
      <c r="W284" s="232"/>
      <c r="X284" s="230"/>
      <c r="Y284" s="232"/>
      <c r="Z284" s="230"/>
      <c r="AA284" s="232"/>
      <c r="AB284" s="232"/>
      <c r="AC284" s="234"/>
      <c r="AD284" s="26">
        <f>VLOOKUP(AC285,R285:AB286,5,0)</f>
        <v>12</v>
      </c>
      <c r="AE284" s="27">
        <f>VLOOKUP(AC285,R285:AB286,7,0)</f>
        <v>1</v>
      </c>
      <c r="AF284" s="28">
        <f>VLOOKUP(AC285,R285:AB286,9,0)</f>
        <v>14.000000000000002</v>
      </c>
      <c r="AG284" s="29">
        <f>VLOOKUP(AC285,R285:AB286,11,0)</f>
        <v>198</v>
      </c>
    </row>
    <row r="285" spans="1:33" ht="12.75" customHeight="1">
      <c r="A285" s="27" t="s">
        <v>0</v>
      </c>
      <c r="B285" s="27" t="s">
        <v>1</v>
      </c>
      <c r="C285" s="27" t="s">
        <v>2</v>
      </c>
      <c r="D285" s="139" t="s">
        <v>3</v>
      </c>
      <c r="E285" s="140" t="s">
        <v>4</v>
      </c>
      <c r="F285" s="141"/>
      <c r="G285" s="142"/>
      <c r="H285" s="142"/>
      <c r="I285" s="142"/>
      <c r="J285" s="142"/>
      <c r="K285" s="142"/>
      <c r="L285" s="143"/>
      <c r="M285" s="21">
        <f>B284*0.12</f>
        <v>12</v>
      </c>
      <c r="N285" s="21">
        <f>B284*0.01</f>
        <v>1</v>
      </c>
      <c r="O285" s="21">
        <f>B284*0.14</f>
        <v>14.000000000000002</v>
      </c>
      <c r="P285" s="21">
        <f>B284*1.98</f>
        <v>198</v>
      </c>
      <c r="R285" s="241" t="str">
        <f>A284</f>
        <v>پنیر کم چرب</v>
      </c>
      <c r="S285" s="238" t="s">
        <v>1</v>
      </c>
      <c r="T285" s="237">
        <f>B284</f>
        <v>100</v>
      </c>
      <c r="U285" s="238" t="s">
        <v>23</v>
      </c>
      <c r="V285" s="237">
        <f t="shared" si="483"/>
        <v>12</v>
      </c>
      <c r="W285" s="238" t="s">
        <v>24</v>
      </c>
      <c r="X285" s="237">
        <f t="shared" si="534"/>
        <v>1</v>
      </c>
      <c r="Y285" s="238" t="s">
        <v>13</v>
      </c>
      <c r="Z285" s="237">
        <f t="shared" si="504"/>
        <v>14.000000000000002</v>
      </c>
      <c r="AA285" s="238" t="s">
        <v>4</v>
      </c>
      <c r="AB285" s="238">
        <f t="shared" si="535"/>
        <v>198</v>
      </c>
      <c r="AC285" s="239" t="str">
        <f>A284</f>
        <v>پنیر کم چرب</v>
      </c>
      <c r="AD285" s="26" t="s">
        <v>11</v>
      </c>
      <c r="AE285" s="27" t="s">
        <v>12</v>
      </c>
      <c r="AF285" s="28" t="s">
        <v>13</v>
      </c>
      <c r="AG285" s="29" t="s">
        <v>4</v>
      </c>
    </row>
    <row r="286" spans="1:33" ht="12.75" customHeight="1">
      <c r="A286" s="27" t="s">
        <v>319</v>
      </c>
      <c r="B286" s="27">
        <v>30</v>
      </c>
      <c r="C286" s="27" t="s">
        <v>89</v>
      </c>
      <c r="D286" s="139">
        <f t="shared" ref="D286" si="540">B286/30</f>
        <v>1</v>
      </c>
      <c r="E286" s="140">
        <f>B286*2.2</f>
        <v>66</v>
      </c>
      <c r="F286" s="141"/>
      <c r="G286" s="142"/>
      <c r="H286" s="142"/>
      <c r="I286" s="142"/>
      <c r="J286" s="142"/>
      <c r="K286" s="142"/>
      <c r="L286" s="143"/>
      <c r="M286" s="9" t="s">
        <v>11</v>
      </c>
      <c r="N286" s="9" t="s">
        <v>12</v>
      </c>
      <c r="O286" s="9" t="s">
        <v>13</v>
      </c>
      <c r="P286" s="9" t="s">
        <v>4</v>
      </c>
      <c r="R286" s="236"/>
      <c r="S286" s="232"/>
      <c r="T286" s="230"/>
      <c r="U286" s="232"/>
      <c r="V286" s="230"/>
      <c r="W286" s="232"/>
      <c r="X286" s="230"/>
      <c r="Y286" s="232"/>
      <c r="Z286" s="230"/>
      <c r="AA286" s="232"/>
      <c r="AB286" s="232"/>
      <c r="AC286" s="234"/>
      <c r="AD286" s="26">
        <f>VLOOKUP(AC287,R287:AB288,5,0)</f>
        <v>2.4</v>
      </c>
      <c r="AE286" s="27">
        <f>VLOOKUP(AC287,R287:AB288,7,0)</f>
        <v>0.72</v>
      </c>
      <c r="AF286" s="28">
        <f>VLOOKUP(AC287,R287:AB288,9,0)</f>
        <v>6.3</v>
      </c>
      <c r="AG286" s="29">
        <f>VLOOKUP(AC287,R287:AB288,11,0)</f>
        <v>66</v>
      </c>
    </row>
    <row r="287" spans="1:33" ht="12.75" customHeight="1">
      <c r="A287" s="27" t="s">
        <v>0</v>
      </c>
      <c r="B287" s="27" t="s">
        <v>320</v>
      </c>
      <c r="C287" s="27" t="s">
        <v>2</v>
      </c>
      <c r="D287" s="139" t="s">
        <v>3</v>
      </c>
      <c r="E287" s="140" t="s">
        <v>4</v>
      </c>
      <c r="F287" s="141"/>
      <c r="G287" s="142"/>
      <c r="H287" s="142"/>
      <c r="I287" s="142"/>
      <c r="J287" s="142"/>
      <c r="K287" s="142"/>
      <c r="L287" s="143"/>
      <c r="M287" s="21">
        <f>B286*0.08</f>
        <v>2.4</v>
      </c>
      <c r="N287" s="21">
        <f>B286*0.024</f>
        <v>0.72</v>
      </c>
      <c r="O287" s="21">
        <f>B286*0.21</f>
        <v>6.3</v>
      </c>
      <c r="P287" s="21">
        <f>B286*2.2</f>
        <v>66</v>
      </c>
      <c r="R287" s="241" t="str">
        <f>A286</f>
        <v>پنیر لبنه</v>
      </c>
      <c r="S287" s="238" t="s">
        <v>1</v>
      </c>
      <c r="T287" s="237">
        <f>B286</f>
        <v>30</v>
      </c>
      <c r="U287" s="238" t="s">
        <v>23</v>
      </c>
      <c r="V287" s="237">
        <f t="shared" si="483"/>
        <v>2.4</v>
      </c>
      <c r="W287" s="238" t="s">
        <v>24</v>
      </c>
      <c r="X287" s="237">
        <f t="shared" si="534"/>
        <v>0.72</v>
      </c>
      <c r="Y287" s="238" t="s">
        <v>13</v>
      </c>
      <c r="Z287" s="237">
        <f t="shared" si="504"/>
        <v>6.3</v>
      </c>
      <c r="AA287" s="238" t="s">
        <v>4</v>
      </c>
      <c r="AB287" s="238">
        <f t="shared" si="535"/>
        <v>66</v>
      </c>
      <c r="AC287" s="239" t="str">
        <f>A286</f>
        <v>پنیر لبنه</v>
      </c>
      <c r="AD287" s="26" t="s">
        <v>11</v>
      </c>
      <c r="AE287" s="27" t="s">
        <v>12</v>
      </c>
      <c r="AF287" s="28" t="s">
        <v>13</v>
      </c>
      <c r="AG287" s="29" t="s">
        <v>4</v>
      </c>
    </row>
    <row r="288" spans="1:33" ht="12.75" customHeight="1">
      <c r="A288" s="27" t="s">
        <v>321</v>
      </c>
      <c r="B288" s="27">
        <v>250</v>
      </c>
      <c r="C288" s="27" t="s">
        <v>83</v>
      </c>
      <c r="D288" s="139">
        <f>B288/500</f>
        <v>0.5</v>
      </c>
      <c r="E288" s="140">
        <f>P289</f>
        <v>62.500000000000007</v>
      </c>
      <c r="F288" s="141"/>
      <c r="G288" s="142"/>
      <c r="H288" s="142"/>
      <c r="I288" s="142"/>
      <c r="J288" s="142"/>
      <c r="K288" s="142"/>
      <c r="L288" s="143"/>
      <c r="M288" s="9" t="s">
        <v>11</v>
      </c>
      <c r="N288" s="9" t="s">
        <v>12</v>
      </c>
      <c r="O288" s="9" t="s">
        <v>13</v>
      </c>
      <c r="P288" s="9" t="s">
        <v>4</v>
      </c>
      <c r="R288" s="236"/>
      <c r="S288" s="232"/>
      <c r="T288" s="230"/>
      <c r="U288" s="232"/>
      <c r="V288" s="230"/>
      <c r="W288" s="232"/>
      <c r="X288" s="230"/>
      <c r="Y288" s="232"/>
      <c r="Z288" s="230"/>
      <c r="AA288" s="232"/>
      <c r="AB288" s="232"/>
      <c r="AC288" s="234"/>
      <c r="AD288" s="26">
        <f>VLOOKUP(AC289,R289:AB290,5,0)</f>
        <v>5.25</v>
      </c>
      <c r="AE288" s="27">
        <f>VLOOKUP(AC289,R289:AB290,7,0)</f>
        <v>2.7500000000000004</v>
      </c>
      <c r="AF288" s="28">
        <f>VLOOKUP(AC289,R289:AB290,9,0)</f>
        <v>1.0416666666666667</v>
      </c>
      <c r="AG288" s="29">
        <f>VLOOKUP(AC289,R289:AB290,11,0)</f>
        <v>62.500000000000007</v>
      </c>
    </row>
    <row r="289" spans="1:33" ht="12.75" customHeight="1">
      <c r="A289" s="166" t="s">
        <v>0</v>
      </c>
      <c r="B289" s="166" t="s">
        <v>1</v>
      </c>
      <c r="C289" s="166" t="s">
        <v>2</v>
      </c>
      <c r="D289" s="167" t="s">
        <v>3</v>
      </c>
      <c r="E289" s="168" t="s">
        <v>4</v>
      </c>
      <c r="F289" s="169"/>
      <c r="G289" s="170"/>
      <c r="H289" s="170"/>
      <c r="I289" s="170"/>
      <c r="J289" s="170"/>
      <c r="K289" s="170"/>
      <c r="L289" s="171"/>
      <c r="M289" s="21">
        <f>B288/240*5.04</f>
        <v>5.25</v>
      </c>
      <c r="N289" s="21">
        <f>B288/240*2.64</f>
        <v>2.7500000000000004</v>
      </c>
      <c r="O289" s="21">
        <f>B288/240*1</f>
        <v>1.0416666666666667</v>
      </c>
      <c r="P289" s="21">
        <f>B288/240*60</f>
        <v>62.500000000000007</v>
      </c>
      <c r="R289" s="241" t="str">
        <f>A288</f>
        <v>دوغ</v>
      </c>
      <c r="S289" s="238" t="s">
        <v>1</v>
      </c>
      <c r="T289" s="237">
        <f>B288</f>
        <v>250</v>
      </c>
      <c r="U289" s="238" t="s">
        <v>23</v>
      </c>
      <c r="V289" s="237">
        <f t="shared" si="487"/>
        <v>5.25</v>
      </c>
      <c r="W289" s="238" t="s">
        <v>24</v>
      </c>
      <c r="X289" s="237">
        <f t="shared" ref="X289" si="541">N289</f>
        <v>2.7500000000000004</v>
      </c>
      <c r="Y289" s="238" t="s">
        <v>13</v>
      </c>
      <c r="Z289" s="237">
        <f t="shared" ref="Z289" si="542">O289</f>
        <v>1.0416666666666667</v>
      </c>
      <c r="AA289" s="238" t="s">
        <v>4</v>
      </c>
      <c r="AB289" s="238">
        <f t="shared" ref="AB289" si="543">P289</f>
        <v>62.500000000000007</v>
      </c>
      <c r="AC289" s="239" t="str">
        <f>R289</f>
        <v>دوغ</v>
      </c>
      <c r="AD289" s="26" t="s">
        <v>11</v>
      </c>
      <c r="AE289" s="27" t="s">
        <v>12</v>
      </c>
      <c r="AF289" s="28" t="s">
        <v>13</v>
      </c>
      <c r="AG289" s="29" t="s">
        <v>4</v>
      </c>
    </row>
    <row r="290" spans="1:33" ht="12.75" customHeight="1">
      <c r="A290" s="166" t="s">
        <v>322</v>
      </c>
      <c r="B290" s="166">
        <v>60</v>
      </c>
      <c r="C290" s="166" t="s">
        <v>89</v>
      </c>
      <c r="D290" s="167">
        <f>B290/60</f>
        <v>1</v>
      </c>
      <c r="E290" s="168">
        <f>B290/60*60</f>
        <v>60</v>
      </c>
      <c r="F290" s="169"/>
      <c r="G290" s="170"/>
      <c r="H290" s="170"/>
      <c r="I290" s="170"/>
      <c r="J290" s="170"/>
      <c r="K290" s="170"/>
      <c r="L290" s="171"/>
      <c r="M290" s="9" t="s">
        <v>11</v>
      </c>
      <c r="N290" s="9" t="s">
        <v>12</v>
      </c>
      <c r="O290" s="9" t="s">
        <v>13</v>
      </c>
      <c r="P290" s="9" t="s">
        <v>4</v>
      </c>
      <c r="R290" s="236"/>
      <c r="S290" s="232"/>
      <c r="T290" s="230"/>
      <c r="U290" s="232"/>
      <c r="V290" s="230"/>
      <c r="W290" s="232"/>
      <c r="X290" s="230"/>
      <c r="Y290" s="232"/>
      <c r="Z290" s="230"/>
      <c r="AA290" s="232"/>
      <c r="AB290" s="232"/>
      <c r="AC290" s="234"/>
      <c r="AD290" s="26">
        <f>VLOOKUP(AC291,R291:AB292,5,0)</f>
        <v>1</v>
      </c>
      <c r="AE290" s="27">
        <f>VLOOKUP(AC291,R291:AB292,7,0)</f>
        <v>15</v>
      </c>
      <c r="AF290" s="28">
        <f>VLOOKUP(AC291,R291:AB292,9,0)</f>
        <v>0</v>
      </c>
      <c r="AG290" s="29">
        <f>VLOOKUP(AC291,R291:AB292,11,0)</f>
        <v>60</v>
      </c>
    </row>
    <row r="291" spans="1:33" ht="12.75" customHeight="1">
      <c r="A291" s="166" t="s">
        <v>0</v>
      </c>
      <c r="B291" s="166" t="s">
        <v>1</v>
      </c>
      <c r="C291" s="166" t="s">
        <v>2</v>
      </c>
      <c r="D291" s="167" t="s">
        <v>3</v>
      </c>
      <c r="E291" s="168" t="s">
        <v>4</v>
      </c>
      <c r="F291" s="169"/>
      <c r="G291" s="170"/>
      <c r="H291" s="170"/>
      <c r="I291" s="170"/>
      <c r="J291" s="170"/>
      <c r="K291" s="170"/>
      <c r="L291" s="171"/>
      <c r="M291" s="21">
        <f>B290/60*1</f>
        <v>1</v>
      </c>
      <c r="N291" s="21">
        <f>B290/60*15</f>
        <v>15</v>
      </c>
      <c r="O291" s="21">
        <v>0</v>
      </c>
      <c r="P291" s="21">
        <f>B290/60*60</f>
        <v>60</v>
      </c>
      <c r="R291" s="241" t="str">
        <f>A290</f>
        <v>میوه ها(یک عدد متوسط)</v>
      </c>
      <c r="S291" s="238" t="s">
        <v>1</v>
      </c>
      <c r="T291" s="237">
        <f>B290</f>
        <v>60</v>
      </c>
      <c r="U291" s="238" t="s">
        <v>23</v>
      </c>
      <c r="V291" s="237">
        <f t="shared" si="492"/>
        <v>1</v>
      </c>
      <c r="W291" s="238" t="s">
        <v>24</v>
      </c>
      <c r="X291" s="237">
        <f t="shared" ref="X291" si="544">N291</f>
        <v>15</v>
      </c>
      <c r="Y291" s="238" t="s">
        <v>13</v>
      </c>
      <c r="Z291" s="237">
        <f t="shared" si="475"/>
        <v>0</v>
      </c>
      <c r="AA291" s="238" t="s">
        <v>4</v>
      </c>
      <c r="AB291" s="238">
        <f t="shared" ref="AB291" si="545">P291</f>
        <v>60</v>
      </c>
      <c r="AC291" s="239" t="str">
        <f>R291</f>
        <v>میوه ها(یک عدد متوسط)</v>
      </c>
      <c r="AD291" s="26" t="s">
        <v>11</v>
      </c>
      <c r="AE291" s="27" t="s">
        <v>12</v>
      </c>
      <c r="AF291" s="28" t="s">
        <v>13</v>
      </c>
      <c r="AG291" s="29" t="s">
        <v>4</v>
      </c>
    </row>
    <row r="292" spans="1:33" ht="12.75" customHeight="1">
      <c r="A292" s="166" t="s">
        <v>323</v>
      </c>
      <c r="B292" s="166">
        <v>60</v>
      </c>
      <c r="C292" s="166" t="s">
        <v>89</v>
      </c>
      <c r="D292" s="167">
        <f t="shared" ref="D292" si="546">B292/60</f>
        <v>1</v>
      </c>
      <c r="E292" s="168">
        <f>P293</f>
        <v>84</v>
      </c>
      <c r="F292" s="169"/>
      <c r="G292" s="170"/>
      <c r="H292" s="170"/>
      <c r="I292" s="170"/>
      <c r="J292" s="170"/>
      <c r="K292" s="170"/>
      <c r="L292" s="171"/>
      <c r="M292" s="9" t="s">
        <v>11</v>
      </c>
      <c r="N292" s="9" t="s">
        <v>12</v>
      </c>
      <c r="O292" s="9" t="s">
        <v>13</v>
      </c>
      <c r="P292" s="9" t="s">
        <v>4</v>
      </c>
      <c r="R292" s="236"/>
      <c r="S292" s="232"/>
      <c r="T292" s="230"/>
      <c r="U292" s="232"/>
      <c r="V292" s="230"/>
      <c r="W292" s="232"/>
      <c r="X292" s="230"/>
      <c r="Y292" s="232"/>
      <c r="Z292" s="230"/>
      <c r="AA292" s="232"/>
      <c r="AB292" s="232"/>
      <c r="AC292" s="234"/>
      <c r="AD292" s="26">
        <f>VLOOKUP(AC293,R293:AB294,5,0)</f>
        <v>1.5</v>
      </c>
      <c r="AE292" s="27">
        <f>VLOOKUP(AC293,R293:AB294,7,0)</f>
        <v>21</v>
      </c>
      <c r="AF292" s="28">
        <f>VLOOKUP(AC293,R293:AB294,9,0)</f>
        <v>1.5</v>
      </c>
      <c r="AG292" s="29">
        <f>VLOOKUP(AC293,R293:AB294,11,0)</f>
        <v>84</v>
      </c>
    </row>
    <row r="293" spans="1:33" ht="12.75" customHeight="1">
      <c r="A293" s="166" t="s">
        <v>0</v>
      </c>
      <c r="B293" s="166" t="s">
        <v>1</v>
      </c>
      <c r="C293" s="166" t="s">
        <v>2</v>
      </c>
      <c r="D293" s="167" t="s">
        <v>3</v>
      </c>
      <c r="E293" s="168" t="s">
        <v>4</v>
      </c>
      <c r="F293" s="169"/>
      <c r="G293" s="170"/>
      <c r="H293" s="170"/>
      <c r="I293" s="170"/>
      <c r="J293" s="170"/>
      <c r="K293" s="170"/>
      <c r="L293" s="171"/>
      <c r="M293" s="21">
        <f>B292*2.5/100</f>
        <v>1.5</v>
      </c>
      <c r="N293" s="21">
        <f>B292*35/100</f>
        <v>21</v>
      </c>
      <c r="O293" s="21">
        <f>B292/0.4/100</f>
        <v>1.5</v>
      </c>
      <c r="P293" s="21">
        <f>B292*140/100</f>
        <v>84</v>
      </c>
      <c r="R293" s="241" t="str">
        <f>A292</f>
        <v>خرما تازه</v>
      </c>
      <c r="S293" s="238" t="s">
        <v>1</v>
      </c>
      <c r="T293" s="237">
        <f>B292</f>
        <v>60</v>
      </c>
      <c r="U293" s="238" t="s">
        <v>23</v>
      </c>
      <c r="V293" s="237">
        <f t="shared" si="497"/>
        <v>1.5</v>
      </c>
      <c r="W293" s="238" t="s">
        <v>24</v>
      </c>
      <c r="X293" s="237">
        <f t="shared" ref="X293" si="547">N293</f>
        <v>21</v>
      </c>
      <c r="Y293" s="238" t="s">
        <v>13</v>
      </c>
      <c r="Z293" s="237">
        <f t="shared" si="480"/>
        <v>1.5</v>
      </c>
      <c r="AA293" s="238" t="s">
        <v>4</v>
      </c>
      <c r="AB293" s="238">
        <f t="shared" ref="AB293" si="548">P293</f>
        <v>84</v>
      </c>
      <c r="AC293" s="239" t="str">
        <f>R293</f>
        <v>خرما تازه</v>
      </c>
      <c r="AD293" s="26" t="s">
        <v>11</v>
      </c>
      <c r="AE293" s="27" t="s">
        <v>12</v>
      </c>
      <c r="AF293" s="28" t="s">
        <v>13</v>
      </c>
      <c r="AG293" s="29" t="s">
        <v>4</v>
      </c>
    </row>
    <row r="294" spans="1:33" ht="12.75" customHeight="1">
      <c r="A294" s="166" t="s">
        <v>324</v>
      </c>
      <c r="B294" s="166">
        <v>60</v>
      </c>
      <c r="C294" s="166" t="s">
        <v>89</v>
      </c>
      <c r="D294" s="167">
        <f t="shared" ref="D294" si="549">B294/60</f>
        <v>1</v>
      </c>
      <c r="E294" s="168">
        <f>P295</f>
        <v>210</v>
      </c>
      <c r="F294" s="169"/>
      <c r="G294" s="170"/>
      <c r="H294" s="170"/>
      <c r="I294" s="170"/>
      <c r="J294" s="170"/>
      <c r="K294" s="170"/>
      <c r="L294" s="171"/>
      <c r="M294" s="9" t="s">
        <v>11</v>
      </c>
      <c r="N294" s="9" t="s">
        <v>12</v>
      </c>
      <c r="O294" s="9" t="s">
        <v>13</v>
      </c>
      <c r="P294" s="9" t="s">
        <v>4</v>
      </c>
      <c r="R294" s="236"/>
      <c r="S294" s="232"/>
      <c r="T294" s="230"/>
      <c r="U294" s="232"/>
      <c r="V294" s="230"/>
      <c r="W294" s="232"/>
      <c r="X294" s="230"/>
      <c r="Y294" s="232"/>
      <c r="Z294" s="230"/>
      <c r="AA294" s="232"/>
      <c r="AB294" s="232"/>
      <c r="AC294" s="234"/>
      <c r="AD294" s="26">
        <f>VLOOKUP(AC295,R295:AB296,5,0)</f>
        <v>1.5</v>
      </c>
      <c r="AE294" s="27">
        <f>VLOOKUP(AC295,R295:AB296,7,0)</f>
        <v>48</v>
      </c>
      <c r="AF294" s="28">
        <f>VLOOKUP(AC295,R295:AB296,9,0)</f>
        <v>0.24</v>
      </c>
      <c r="AG294" s="29">
        <f>VLOOKUP(AC295,R295:AB296,11,0)</f>
        <v>210</v>
      </c>
    </row>
    <row r="295" spans="1:33" ht="12.75" customHeight="1">
      <c r="A295" s="166" t="s">
        <v>0</v>
      </c>
      <c r="B295" s="166" t="s">
        <v>1</v>
      </c>
      <c r="C295" s="166" t="s">
        <v>2</v>
      </c>
      <c r="D295" s="167" t="s">
        <v>3</v>
      </c>
      <c r="E295" s="168" t="s">
        <v>4</v>
      </c>
      <c r="F295" s="169"/>
      <c r="G295" s="170"/>
      <c r="H295" s="170"/>
      <c r="I295" s="170"/>
      <c r="J295" s="170"/>
      <c r="K295" s="170"/>
      <c r="L295" s="171"/>
      <c r="M295" s="21">
        <f>B294*2.5/100</f>
        <v>1.5</v>
      </c>
      <c r="N295" s="21">
        <f>B294*80/100</f>
        <v>48</v>
      </c>
      <c r="O295" s="21">
        <f>B294*0.4/100</f>
        <v>0.24</v>
      </c>
      <c r="P295" s="21">
        <f>B294*350/100</f>
        <v>210</v>
      </c>
      <c r="R295" s="241" t="str">
        <f>A294</f>
        <v>خرما خشک</v>
      </c>
      <c r="S295" s="238" t="s">
        <v>1</v>
      </c>
      <c r="T295" s="237">
        <f>B294</f>
        <v>60</v>
      </c>
      <c r="U295" s="238" t="s">
        <v>23</v>
      </c>
      <c r="V295" s="237">
        <f t="shared" si="502"/>
        <v>1.5</v>
      </c>
      <c r="W295" s="238" t="s">
        <v>24</v>
      </c>
      <c r="X295" s="237">
        <f t="shared" ref="X295" si="550">N295</f>
        <v>48</v>
      </c>
      <c r="Y295" s="238" t="s">
        <v>13</v>
      </c>
      <c r="Z295" s="237">
        <f t="shared" si="485"/>
        <v>0.24</v>
      </c>
      <c r="AA295" s="238" t="s">
        <v>4</v>
      </c>
      <c r="AB295" s="238">
        <f t="shared" ref="AB295" si="551">P295</f>
        <v>210</v>
      </c>
      <c r="AC295" s="239" t="str">
        <f>R295</f>
        <v>خرما خشک</v>
      </c>
      <c r="AD295" s="26" t="s">
        <v>11</v>
      </c>
      <c r="AE295" s="27" t="s">
        <v>12</v>
      </c>
      <c r="AF295" s="28" t="s">
        <v>13</v>
      </c>
      <c r="AG295" s="29" t="s">
        <v>4</v>
      </c>
    </row>
    <row r="296" spans="1:33" ht="12.75" customHeight="1">
      <c r="A296" s="166" t="s">
        <v>133</v>
      </c>
      <c r="B296" s="166">
        <v>60</v>
      </c>
      <c r="C296" s="166" t="s">
        <v>89</v>
      </c>
      <c r="D296" s="167">
        <f t="shared" ref="D296" si="552">B296/60</f>
        <v>1</v>
      </c>
      <c r="E296" s="168">
        <f>P297</f>
        <v>165</v>
      </c>
      <c r="F296" s="169"/>
      <c r="G296" s="170"/>
      <c r="H296" s="170"/>
      <c r="I296" s="170"/>
      <c r="J296" s="170"/>
      <c r="K296" s="170"/>
      <c r="L296" s="171"/>
      <c r="M296" s="9" t="s">
        <v>11</v>
      </c>
      <c r="N296" s="9" t="s">
        <v>12</v>
      </c>
      <c r="O296" s="9" t="s">
        <v>13</v>
      </c>
      <c r="P296" s="9" t="s">
        <v>4</v>
      </c>
      <c r="R296" s="236"/>
      <c r="S296" s="232"/>
      <c r="T296" s="230"/>
      <c r="U296" s="232"/>
      <c r="V296" s="230"/>
      <c r="W296" s="232"/>
      <c r="X296" s="230"/>
      <c r="Y296" s="232"/>
      <c r="Z296" s="230"/>
      <c r="AA296" s="232"/>
      <c r="AB296" s="232"/>
      <c r="AC296" s="234"/>
      <c r="AD296" s="26">
        <f>VLOOKUP(AC297,R297:AB298,5,0)</f>
        <v>1.62</v>
      </c>
      <c r="AE296" s="27">
        <f>VLOOKUP(AC297,R297:AB298,7,0)</f>
        <v>42</v>
      </c>
      <c r="AF296" s="28">
        <f>VLOOKUP(AC297,R297:AB298,9,0)</f>
        <v>0</v>
      </c>
      <c r="AG296" s="29">
        <f>VLOOKUP(AC297,R297:AB298,11,0)</f>
        <v>165</v>
      </c>
    </row>
    <row r="297" spans="1:33" ht="12.75" customHeight="1">
      <c r="A297" s="166" t="s">
        <v>0</v>
      </c>
      <c r="B297" s="166" t="s">
        <v>1</v>
      </c>
      <c r="C297" s="166" t="s">
        <v>2</v>
      </c>
      <c r="D297" s="167" t="s">
        <v>3</v>
      </c>
      <c r="E297" s="168" t="s">
        <v>4</v>
      </c>
      <c r="F297" s="169"/>
      <c r="G297" s="170"/>
      <c r="H297" s="170"/>
      <c r="I297" s="170"/>
      <c r="J297" s="170"/>
      <c r="K297" s="170"/>
      <c r="L297" s="171"/>
      <c r="M297" s="21">
        <f>B296*2.7/100</f>
        <v>1.62</v>
      </c>
      <c r="N297" s="21">
        <f>B296*70/100</f>
        <v>42</v>
      </c>
      <c r="O297" s="21">
        <f>0</f>
        <v>0</v>
      </c>
      <c r="P297" s="21">
        <f>B296*275/100</f>
        <v>165</v>
      </c>
      <c r="R297" s="241" t="str">
        <f>A296</f>
        <v>کشمش</v>
      </c>
      <c r="S297" s="238" t="s">
        <v>1</v>
      </c>
      <c r="T297" s="237">
        <f>B296</f>
        <v>60</v>
      </c>
      <c r="U297" s="238" t="s">
        <v>23</v>
      </c>
      <c r="V297" s="237">
        <f t="shared" si="507"/>
        <v>1.62</v>
      </c>
      <c r="W297" s="238" t="s">
        <v>24</v>
      </c>
      <c r="X297" s="237">
        <f t="shared" ref="X297" si="553">N297</f>
        <v>42</v>
      </c>
      <c r="Y297" s="238" t="s">
        <v>13</v>
      </c>
      <c r="Z297" s="237">
        <f t="shared" si="489"/>
        <v>0</v>
      </c>
      <c r="AA297" s="238" t="s">
        <v>4</v>
      </c>
      <c r="AB297" s="238">
        <f t="shared" ref="AB297" si="554">P297</f>
        <v>165</v>
      </c>
      <c r="AC297" s="239" t="str">
        <f>R297</f>
        <v>کشمش</v>
      </c>
      <c r="AD297" s="26" t="s">
        <v>11</v>
      </c>
      <c r="AE297" s="27" t="s">
        <v>12</v>
      </c>
      <c r="AF297" s="28" t="s">
        <v>13</v>
      </c>
      <c r="AG297" s="29" t="s">
        <v>4</v>
      </c>
    </row>
    <row r="298" spans="1:33" ht="12.75" customHeight="1">
      <c r="A298" s="166" t="s">
        <v>325</v>
      </c>
      <c r="B298" s="166">
        <v>60</v>
      </c>
      <c r="C298" s="166" t="s">
        <v>89</v>
      </c>
      <c r="D298" s="167">
        <f t="shared" ref="D298" si="555">B298/60</f>
        <v>1</v>
      </c>
      <c r="E298" s="168">
        <f>P299</f>
        <v>149.4</v>
      </c>
      <c r="F298" s="169"/>
      <c r="G298" s="170"/>
      <c r="H298" s="170"/>
      <c r="I298" s="170"/>
      <c r="J298" s="170"/>
      <c r="K298" s="170"/>
      <c r="L298" s="171"/>
      <c r="M298" s="9" t="s">
        <v>11</v>
      </c>
      <c r="N298" s="9" t="s">
        <v>12</v>
      </c>
      <c r="O298" s="9" t="s">
        <v>13</v>
      </c>
      <c r="P298" s="9" t="s">
        <v>4</v>
      </c>
      <c r="R298" s="236"/>
      <c r="S298" s="232"/>
      <c r="T298" s="230"/>
      <c r="U298" s="232"/>
      <c r="V298" s="230"/>
      <c r="W298" s="232"/>
      <c r="X298" s="230"/>
      <c r="Y298" s="232"/>
      <c r="Z298" s="230"/>
      <c r="AA298" s="232"/>
      <c r="AB298" s="232"/>
      <c r="AC298" s="234"/>
      <c r="AD298" s="26">
        <f>VLOOKUP(AC299,R299:AB300,5,0)</f>
        <v>1.98</v>
      </c>
      <c r="AE298" s="27">
        <f>VLOOKUP(AC299,R299:AB300,7,0)</f>
        <v>38.4</v>
      </c>
      <c r="AF298" s="28">
        <f>VLOOKUP(AC299,R299:AB300,9,0)</f>
        <v>0</v>
      </c>
      <c r="AG298" s="29">
        <f>VLOOKUP(AC299,R299:AB300,11,0)</f>
        <v>149.4</v>
      </c>
    </row>
    <row r="299" spans="1:33" ht="12.75" customHeight="1">
      <c r="A299" s="166" t="s">
        <v>0</v>
      </c>
      <c r="B299" s="166" t="s">
        <v>1</v>
      </c>
      <c r="C299" s="166" t="s">
        <v>2</v>
      </c>
      <c r="D299" s="167" t="s">
        <v>3</v>
      </c>
      <c r="E299" s="168" t="s">
        <v>4</v>
      </c>
      <c r="F299" s="169"/>
      <c r="G299" s="170"/>
      <c r="H299" s="170"/>
      <c r="I299" s="170"/>
      <c r="J299" s="170"/>
      <c r="K299" s="170"/>
      <c r="L299" s="171"/>
      <c r="M299" s="21">
        <f>B298*3.3/100</f>
        <v>1.98</v>
      </c>
      <c r="N299" s="21">
        <f>B298*64/100</f>
        <v>38.4</v>
      </c>
      <c r="O299" s="21">
        <f>0</f>
        <v>0</v>
      </c>
      <c r="P299" s="21">
        <f>B298*249/100</f>
        <v>149.4</v>
      </c>
      <c r="R299" s="241" t="str">
        <f>A298</f>
        <v>انجیر</v>
      </c>
      <c r="S299" s="238" t="s">
        <v>1</v>
      </c>
      <c r="T299" s="237">
        <f>B298</f>
        <v>60</v>
      </c>
      <c r="U299" s="238" t="s">
        <v>23</v>
      </c>
      <c r="V299" s="237">
        <f t="shared" si="512"/>
        <v>1.98</v>
      </c>
      <c r="W299" s="238" t="s">
        <v>24</v>
      </c>
      <c r="X299" s="237">
        <f t="shared" ref="X299" si="556">N299</f>
        <v>38.4</v>
      </c>
      <c r="Y299" s="238" t="s">
        <v>13</v>
      </c>
      <c r="Z299" s="237">
        <f t="shared" si="494"/>
        <v>0</v>
      </c>
      <c r="AA299" s="238" t="s">
        <v>4</v>
      </c>
      <c r="AB299" s="238">
        <f t="shared" ref="AB299" si="557">P299</f>
        <v>149.4</v>
      </c>
      <c r="AC299" s="239" t="str">
        <f>R299</f>
        <v>انجیر</v>
      </c>
      <c r="AD299" s="26" t="s">
        <v>11</v>
      </c>
      <c r="AE299" s="27" t="s">
        <v>12</v>
      </c>
      <c r="AF299" s="28" t="s">
        <v>13</v>
      </c>
      <c r="AG299" s="29" t="s">
        <v>4</v>
      </c>
    </row>
    <row r="300" spans="1:33" ht="12.75" customHeight="1">
      <c r="A300" s="166" t="s">
        <v>326</v>
      </c>
      <c r="B300" s="166">
        <v>60</v>
      </c>
      <c r="C300" s="166" t="s">
        <v>89</v>
      </c>
      <c r="D300" s="167">
        <f t="shared" ref="D300" si="558">B300/60</f>
        <v>1</v>
      </c>
      <c r="E300" s="168">
        <f>P301</f>
        <v>276</v>
      </c>
      <c r="F300" s="169"/>
      <c r="G300" s="170"/>
      <c r="H300" s="170"/>
      <c r="I300" s="170"/>
      <c r="J300" s="170"/>
      <c r="K300" s="170"/>
      <c r="L300" s="171"/>
      <c r="M300" s="9" t="s">
        <v>11</v>
      </c>
      <c r="N300" s="9" t="s">
        <v>12</v>
      </c>
      <c r="O300" s="9" t="s">
        <v>13</v>
      </c>
      <c r="P300" s="9" t="s">
        <v>4</v>
      </c>
      <c r="R300" s="236"/>
      <c r="S300" s="232"/>
      <c r="T300" s="230"/>
      <c r="U300" s="232"/>
      <c r="V300" s="230"/>
      <c r="W300" s="232"/>
      <c r="X300" s="230"/>
      <c r="Y300" s="232"/>
      <c r="Z300" s="230"/>
      <c r="AA300" s="232"/>
      <c r="AB300" s="232"/>
      <c r="AC300" s="234"/>
      <c r="AD300" s="26">
        <f>VLOOKUP(AC301,R301:AB302,5,0)</f>
        <v>16.2</v>
      </c>
      <c r="AE300" s="27">
        <f>VLOOKUP(AC301,R301:AB302,7,0)</f>
        <v>1.2</v>
      </c>
      <c r="AF300" s="28">
        <f>VLOOKUP(AC301,R301:AB302,9,0)</f>
        <v>30.6</v>
      </c>
      <c r="AG300" s="29">
        <f>VLOOKUP(AC301,R301:AB302,11,0)</f>
        <v>276</v>
      </c>
    </row>
    <row r="301" spans="1:33" ht="12.75" customHeight="1">
      <c r="A301" s="166" t="s">
        <v>0</v>
      </c>
      <c r="B301" s="166" t="s">
        <v>1</v>
      </c>
      <c r="C301" s="166" t="s">
        <v>2</v>
      </c>
      <c r="D301" s="167" t="s">
        <v>3</v>
      </c>
      <c r="E301" s="168" t="s">
        <v>4</v>
      </c>
      <c r="F301" s="169"/>
      <c r="G301" s="170"/>
      <c r="H301" s="170"/>
      <c r="I301" s="170"/>
      <c r="J301" s="170"/>
      <c r="K301" s="170"/>
      <c r="L301" s="171"/>
      <c r="M301" s="21">
        <f>B300*27/100</f>
        <v>16.2</v>
      </c>
      <c r="N301" s="21">
        <f>B300*2/100</f>
        <v>1.2</v>
      </c>
      <c r="O301" s="21">
        <f>B300*51/100</f>
        <v>30.6</v>
      </c>
      <c r="P301" s="21">
        <f>B300*460/100</f>
        <v>276</v>
      </c>
      <c r="R301" s="241" t="str">
        <f>A300</f>
        <v>حلوا ارده بدون شکر</v>
      </c>
      <c r="S301" s="238" t="s">
        <v>1</v>
      </c>
      <c r="T301" s="237">
        <f>B300</f>
        <v>60</v>
      </c>
      <c r="U301" s="238" t="s">
        <v>23</v>
      </c>
      <c r="V301" s="237">
        <f t="shared" si="516"/>
        <v>16.2</v>
      </c>
      <c r="W301" s="238" t="s">
        <v>24</v>
      </c>
      <c r="X301" s="237">
        <f t="shared" ref="X301" si="559">N301</f>
        <v>1.2</v>
      </c>
      <c r="Y301" s="238" t="s">
        <v>13</v>
      </c>
      <c r="Z301" s="237">
        <f t="shared" ref="Z301" si="560">O301</f>
        <v>30.6</v>
      </c>
      <c r="AA301" s="238" t="s">
        <v>4</v>
      </c>
      <c r="AB301" s="238">
        <f t="shared" ref="AB301" si="561">P301</f>
        <v>276</v>
      </c>
      <c r="AC301" s="239" t="str">
        <f>R301</f>
        <v>حلوا ارده بدون شکر</v>
      </c>
      <c r="AD301" s="26" t="s">
        <v>11</v>
      </c>
      <c r="AE301" s="27" t="s">
        <v>12</v>
      </c>
      <c r="AF301" s="28" t="s">
        <v>13</v>
      </c>
      <c r="AG301" s="29" t="s">
        <v>4</v>
      </c>
    </row>
    <row r="302" spans="1:33" ht="12.75" customHeight="1">
      <c r="A302" s="166" t="s">
        <v>327</v>
      </c>
      <c r="B302" s="166">
        <v>60</v>
      </c>
      <c r="C302" s="166" t="s">
        <v>89</v>
      </c>
      <c r="D302" s="167">
        <f t="shared" ref="D302" si="562">B302/60</f>
        <v>1</v>
      </c>
      <c r="E302" s="168">
        <f>P303</f>
        <v>319.8</v>
      </c>
      <c r="F302" s="169"/>
      <c r="G302" s="170"/>
      <c r="H302" s="170"/>
      <c r="I302" s="170"/>
      <c r="J302" s="170"/>
      <c r="K302" s="170"/>
      <c r="L302" s="171"/>
      <c r="M302" s="9" t="s">
        <v>11</v>
      </c>
      <c r="N302" s="9" t="s">
        <v>12</v>
      </c>
      <c r="O302" s="9" t="s">
        <v>13</v>
      </c>
      <c r="P302" s="9" t="s">
        <v>4</v>
      </c>
      <c r="R302" s="236"/>
      <c r="S302" s="232"/>
      <c r="T302" s="230"/>
      <c r="U302" s="232"/>
      <c r="V302" s="230"/>
      <c r="W302" s="232"/>
      <c r="X302" s="230"/>
      <c r="Y302" s="232"/>
      <c r="Z302" s="230"/>
      <c r="AA302" s="232"/>
      <c r="AB302" s="232"/>
      <c r="AC302" s="234"/>
      <c r="AD302" s="26">
        <f>VLOOKUP(AC303,R303:AB304,5,0)</f>
        <v>12</v>
      </c>
      <c r="AE302" s="27">
        <f>VLOOKUP(AC303,R303:AB304,7,0)</f>
        <v>12</v>
      </c>
      <c r="AF302" s="28">
        <f>VLOOKUP(AC303,R303:AB304,9,0)</f>
        <v>30.6</v>
      </c>
      <c r="AG302" s="29">
        <f>VLOOKUP(AC303,R303:AB304,11,0)</f>
        <v>319.8</v>
      </c>
    </row>
    <row r="303" spans="1:33" ht="12.75" customHeight="1">
      <c r="A303" s="166" t="s">
        <v>0</v>
      </c>
      <c r="B303" s="166" t="s">
        <v>1</v>
      </c>
      <c r="C303" s="166" t="s">
        <v>2</v>
      </c>
      <c r="D303" s="167" t="s">
        <v>3</v>
      </c>
      <c r="E303" s="168" t="s">
        <v>4</v>
      </c>
      <c r="F303" s="169"/>
      <c r="G303" s="170"/>
      <c r="H303" s="170"/>
      <c r="I303" s="170"/>
      <c r="J303" s="170"/>
      <c r="K303" s="170"/>
      <c r="L303" s="171"/>
      <c r="M303" s="9">
        <f>B302*20/100</f>
        <v>12</v>
      </c>
      <c r="N303" s="9">
        <f>B302*20/100</f>
        <v>12</v>
      </c>
      <c r="O303" s="9">
        <f>B302*51/100</f>
        <v>30.6</v>
      </c>
      <c r="P303" s="9">
        <f>B302*533/100</f>
        <v>319.8</v>
      </c>
      <c r="R303" s="241" t="str">
        <f>A302</f>
        <v>حلوا ارده</v>
      </c>
      <c r="S303" s="238" t="s">
        <v>1</v>
      </c>
      <c r="T303" s="237">
        <f>B302</f>
        <v>60</v>
      </c>
      <c r="U303" s="238" t="s">
        <v>23</v>
      </c>
      <c r="V303" s="237">
        <f t="shared" si="520"/>
        <v>12</v>
      </c>
      <c r="W303" s="238" t="s">
        <v>24</v>
      </c>
      <c r="X303" s="237">
        <f>N303</f>
        <v>12</v>
      </c>
      <c r="Y303" s="238" t="s">
        <v>13</v>
      </c>
      <c r="Z303" s="237">
        <f t="shared" ref="Z303" si="563">O303</f>
        <v>30.6</v>
      </c>
      <c r="AA303" s="238" t="s">
        <v>4</v>
      </c>
      <c r="AB303" s="238">
        <f t="shared" ref="AB303" si="564">P303</f>
        <v>319.8</v>
      </c>
      <c r="AC303" s="239" t="str">
        <f>R303</f>
        <v>حلوا ارده</v>
      </c>
      <c r="AD303" s="26" t="s">
        <v>11</v>
      </c>
      <c r="AE303" s="27" t="s">
        <v>12</v>
      </c>
      <c r="AF303" s="28" t="s">
        <v>13</v>
      </c>
      <c r="AG303" s="29" t="s">
        <v>4</v>
      </c>
    </row>
    <row r="304" spans="1:33" ht="12.75" customHeight="1">
      <c r="A304" s="166" t="s">
        <v>44</v>
      </c>
      <c r="B304" s="166">
        <v>60</v>
      </c>
      <c r="C304" s="166" t="s">
        <v>89</v>
      </c>
      <c r="D304" s="167">
        <f t="shared" ref="D304" si="565">B304/60</f>
        <v>1</v>
      </c>
      <c r="E304" s="168">
        <f>P305</f>
        <v>378</v>
      </c>
      <c r="F304" s="169"/>
      <c r="G304" s="170"/>
      <c r="H304" s="170"/>
      <c r="I304" s="170"/>
      <c r="J304" s="170"/>
      <c r="K304" s="170"/>
      <c r="L304" s="171"/>
      <c r="M304" s="9" t="s">
        <v>11</v>
      </c>
      <c r="N304" s="9" t="s">
        <v>12</v>
      </c>
      <c r="O304" s="9" t="s">
        <v>13</v>
      </c>
      <c r="P304" s="9" t="s">
        <v>4</v>
      </c>
      <c r="R304" s="236"/>
      <c r="S304" s="232"/>
      <c r="T304" s="230"/>
      <c r="U304" s="232"/>
      <c r="V304" s="230"/>
      <c r="W304" s="232"/>
      <c r="X304" s="230"/>
      <c r="Y304" s="232"/>
      <c r="Z304" s="230"/>
      <c r="AA304" s="232"/>
      <c r="AB304" s="232"/>
      <c r="AC304" s="234"/>
      <c r="AD304" s="26">
        <f>VLOOKUP(AC305,R305:AB306,5,0)</f>
        <v>15</v>
      </c>
      <c r="AE304" s="27">
        <f>VLOOKUP(AC305,R305:AB306,7,0)</f>
        <v>12</v>
      </c>
      <c r="AF304" s="28">
        <f>VLOOKUP(AC305,R305:AB306,9,0)</f>
        <v>30</v>
      </c>
      <c r="AG304" s="29">
        <f>VLOOKUP(AC305,R305:AB306,11,0)</f>
        <v>378</v>
      </c>
    </row>
    <row r="305" spans="1:33" ht="12.75" customHeight="1">
      <c r="A305" s="26" t="s">
        <v>0</v>
      </c>
      <c r="B305" s="26" t="s">
        <v>1</v>
      </c>
      <c r="C305" s="26" t="s">
        <v>2</v>
      </c>
      <c r="D305" s="172" t="s">
        <v>3</v>
      </c>
      <c r="E305" s="173" t="s">
        <v>4</v>
      </c>
      <c r="F305" s="174"/>
      <c r="G305" s="175"/>
      <c r="H305" s="175"/>
      <c r="I305" s="175"/>
      <c r="J305" s="175"/>
      <c r="K305" s="175"/>
      <c r="L305" s="176"/>
      <c r="M305" s="9">
        <f>B304*25/100</f>
        <v>15</v>
      </c>
      <c r="N305" s="9">
        <f>B304*20/100</f>
        <v>12</v>
      </c>
      <c r="O305" s="9">
        <f>B304*50/100</f>
        <v>30</v>
      </c>
      <c r="P305" s="9">
        <f>B304*630/100</f>
        <v>378</v>
      </c>
      <c r="R305" s="241" t="str">
        <f>A304</f>
        <v>کره بادام زمینی</v>
      </c>
      <c r="S305" s="238" t="s">
        <v>1</v>
      </c>
      <c r="T305" s="237">
        <f>B304</f>
        <v>60</v>
      </c>
      <c r="U305" s="238" t="s">
        <v>23</v>
      </c>
      <c r="V305" s="237">
        <f t="shared" ref="V305" si="566">M305</f>
        <v>15</v>
      </c>
      <c r="W305" s="238" t="s">
        <v>24</v>
      </c>
      <c r="X305" s="237">
        <f t="shared" ref="X305" si="567">N305</f>
        <v>12</v>
      </c>
      <c r="Y305" s="238" t="s">
        <v>13</v>
      </c>
      <c r="Z305" s="237">
        <f t="shared" ref="Z305" si="568">O305</f>
        <v>30</v>
      </c>
      <c r="AA305" s="238" t="s">
        <v>4</v>
      </c>
      <c r="AB305" s="238">
        <f t="shared" ref="AB305" si="569">P305</f>
        <v>378</v>
      </c>
      <c r="AC305" s="239" t="str">
        <f>R305</f>
        <v>کره بادام زمینی</v>
      </c>
      <c r="AD305" s="26" t="s">
        <v>11</v>
      </c>
      <c r="AE305" s="27" t="s">
        <v>12</v>
      </c>
      <c r="AF305" s="28" t="s">
        <v>13</v>
      </c>
      <c r="AG305" s="29" t="s">
        <v>4</v>
      </c>
    </row>
    <row r="306" spans="1:33" ht="12.75" customHeight="1">
      <c r="A306" s="26" t="s">
        <v>328</v>
      </c>
      <c r="B306" s="26">
        <v>30</v>
      </c>
      <c r="C306" s="26" t="s">
        <v>96</v>
      </c>
      <c r="D306" s="172">
        <f>B306/3</f>
        <v>10</v>
      </c>
      <c r="E306" s="173">
        <f>P307</f>
        <v>169.2</v>
      </c>
      <c r="F306" s="174"/>
      <c r="G306" s="175"/>
      <c r="H306" s="175"/>
      <c r="I306" s="175"/>
      <c r="J306" s="175"/>
      <c r="K306" s="175"/>
      <c r="L306" s="176"/>
      <c r="M306" s="9" t="s">
        <v>11</v>
      </c>
      <c r="N306" s="9" t="s">
        <v>12</v>
      </c>
      <c r="O306" s="9" t="s">
        <v>13</v>
      </c>
      <c r="P306" s="9" t="s">
        <v>4</v>
      </c>
      <c r="R306" s="236"/>
      <c r="S306" s="232"/>
      <c r="T306" s="230"/>
      <c r="U306" s="232"/>
      <c r="V306" s="230"/>
      <c r="W306" s="232"/>
      <c r="X306" s="230"/>
      <c r="Y306" s="232"/>
      <c r="Z306" s="230"/>
      <c r="AA306" s="232"/>
      <c r="AB306" s="232"/>
      <c r="AC306" s="234"/>
      <c r="AD306" s="26">
        <f>VLOOKUP(AC307,R307:AB308,5,0)</f>
        <v>7.5</v>
      </c>
      <c r="AE306" s="27">
        <f>VLOOKUP(AC307,R307:AB308,7,0)</f>
        <v>3.75</v>
      </c>
      <c r="AF306" s="28">
        <f>VLOOKUP(AC307,R307:AB308,9,0)</f>
        <v>13.8</v>
      </c>
      <c r="AG306" s="29">
        <f>VLOOKUP(AC307,R307:AB308,11,0)</f>
        <v>169.2</v>
      </c>
    </row>
    <row r="307" spans="1:33" ht="12.75" customHeight="1">
      <c r="A307" s="26" t="s">
        <v>0</v>
      </c>
      <c r="B307" s="26" t="s">
        <v>1</v>
      </c>
      <c r="C307" s="26" t="s">
        <v>2</v>
      </c>
      <c r="D307" s="172" t="s">
        <v>3</v>
      </c>
      <c r="E307" s="173" t="s">
        <v>4</v>
      </c>
      <c r="F307" s="174"/>
      <c r="G307" s="175"/>
      <c r="H307" s="175"/>
      <c r="I307" s="175"/>
      <c r="J307" s="175"/>
      <c r="K307" s="175"/>
      <c r="L307" s="176"/>
      <c r="M307" s="9">
        <f>B306*25/100</f>
        <v>7.5</v>
      </c>
      <c r="N307" s="9">
        <f>B306*12.5/100</f>
        <v>3.75</v>
      </c>
      <c r="O307" s="9">
        <f>B306*46/100</f>
        <v>13.8</v>
      </c>
      <c r="P307" s="9">
        <f>B306*564/100</f>
        <v>169.2</v>
      </c>
      <c r="R307" s="241" t="str">
        <f>A306</f>
        <v>بادام زمینی</v>
      </c>
      <c r="S307" s="238" t="s">
        <v>1</v>
      </c>
      <c r="T307" s="237">
        <f>B306</f>
        <v>30</v>
      </c>
      <c r="U307" s="238" t="s">
        <v>23</v>
      </c>
      <c r="V307" s="237">
        <f t="shared" si="473"/>
        <v>7.5</v>
      </c>
      <c r="W307" s="238" t="s">
        <v>24</v>
      </c>
      <c r="X307" s="237">
        <f t="shared" ref="X307" si="570">N307</f>
        <v>3.75</v>
      </c>
      <c r="Y307" s="238" t="s">
        <v>13</v>
      </c>
      <c r="Z307" s="237">
        <f t="shared" ref="Z307" si="571">O307</f>
        <v>13.8</v>
      </c>
      <c r="AA307" s="238" t="s">
        <v>4</v>
      </c>
      <c r="AB307" s="238">
        <f t="shared" ref="AB307" si="572">P307</f>
        <v>169.2</v>
      </c>
      <c r="AC307" s="239" t="str">
        <f>R307</f>
        <v>بادام زمینی</v>
      </c>
      <c r="AD307" s="26" t="s">
        <v>11</v>
      </c>
      <c r="AE307" s="27" t="s">
        <v>12</v>
      </c>
      <c r="AF307" s="28" t="s">
        <v>13</v>
      </c>
      <c r="AG307" s="29" t="s">
        <v>4</v>
      </c>
    </row>
    <row r="308" spans="1:33" ht="12.75" customHeight="1">
      <c r="A308" s="26" t="s">
        <v>40</v>
      </c>
      <c r="B308" s="26">
        <v>30</v>
      </c>
      <c r="C308" s="26" t="s">
        <v>96</v>
      </c>
      <c r="D308" s="172">
        <f>B308/15</f>
        <v>2</v>
      </c>
      <c r="E308" s="173">
        <f>P309</f>
        <v>196.2</v>
      </c>
      <c r="F308" s="174"/>
      <c r="G308" s="175"/>
      <c r="H308" s="175"/>
      <c r="I308" s="175"/>
      <c r="J308" s="175"/>
      <c r="K308" s="175"/>
      <c r="L308" s="176"/>
      <c r="M308" s="9" t="s">
        <v>11</v>
      </c>
      <c r="N308" s="9" t="s">
        <v>12</v>
      </c>
      <c r="O308" s="9" t="s">
        <v>13</v>
      </c>
      <c r="P308" s="9" t="s">
        <v>4</v>
      </c>
      <c r="R308" s="236"/>
      <c r="S308" s="232"/>
      <c r="T308" s="230"/>
      <c r="U308" s="232"/>
      <c r="V308" s="230"/>
      <c r="W308" s="232"/>
      <c r="X308" s="230"/>
      <c r="Y308" s="232"/>
      <c r="Z308" s="230"/>
      <c r="AA308" s="232"/>
      <c r="AB308" s="232"/>
      <c r="AC308" s="234"/>
      <c r="AD308" s="26">
        <f>VLOOKUP(AC309,R309:AB310,5,0)</f>
        <v>4.5</v>
      </c>
      <c r="AE308" s="27">
        <f>VLOOKUP(AC309,R309:AB310,7,0)</f>
        <v>4.2</v>
      </c>
      <c r="AF308" s="28">
        <f>VLOOKUP(AC309,R309:AB310,9,0)</f>
        <v>19.5</v>
      </c>
      <c r="AG308" s="29">
        <f>VLOOKUP(AC309,R309:AB310,11,0)</f>
        <v>196.2</v>
      </c>
    </row>
    <row r="309" spans="1:33" ht="12.75" customHeight="1">
      <c r="A309" s="26" t="s">
        <v>0</v>
      </c>
      <c r="B309" s="26" t="s">
        <v>1</v>
      </c>
      <c r="C309" s="26" t="s">
        <v>2</v>
      </c>
      <c r="D309" s="172" t="s">
        <v>3</v>
      </c>
      <c r="E309" s="173" t="s">
        <v>4</v>
      </c>
      <c r="F309" s="174"/>
      <c r="G309" s="175"/>
      <c r="H309" s="175"/>
      <c r="I309" s="175"/>
      <c r="J309" s="175"/>
      <c r="K309" s="175"/>
      <c r="L309" s="176"/>
      <c r="M309" s="21">
        <f>B308*15/100</f>
        <v>4.5</v>
      </c>
      <c r="N309" s="21">
        <f>B308*14/100</f>
        <v>4.2</v>
      </c>
      <c r="O309" s="21">
        <f>B308*65/100</f>
        <v>19.5</v>
      </c>
      <c r="P309" s="21">
        <f>B308*654/100</f>
        <v>196.2</v>
      </c>
      <c r="R309" s="241" t="str">
        <f>A308</f>
        <v>گردو</v>
      </c>
      <c r="S309" s="238" t="s">
        <v>1</v>
      </c>
      <c r="T309" s="237">
        <f>B308</f>
        <v>30</v>
      </c>
      <c r="U309" s="238" t="s">
        <v>23</v>
      </c>
      <c r="V309" s="237">
        <f t="shared" si="478"/>
        <v>4.5</v>
      </c>
      <c r="W309" s="238" t="s">
        <v>24</v>
      </c>
      <c r="X309" s="237">
        <f t="shared" ref="X309" si="573">N309</f>
        <v>4.2</v>
      </c>
      <c r="Y309" s="238" t="s">
        <v>13</v>
      </c>
      <c r="Z309" s="237">
        <f t="shared" ref="Z309" si="574">O309</f>
        <v>19.5</v>
      </c>
      <c r="AA309" s="238" t="s">
        <v>4</v>
      </c>
      <c r="AB309" s="238">
        <f t="shared" ref="AB309" si="575">P309</f>
        <v>196.2</v>
      </c>
      <c r="AC309" s="239" t="str">
        <f>R309</f>
        <v>گردو</v>
      </c>
      <c r="AD309" s="26" t="s">
        <v>11</v>
      </c>
      <c r="AE309" s="27" t="s">
        <v>12</v>
      </c>
      <c r="AF309" s="28" t="s">
        <v>13</v>
      </c>
      <c r="AG309" s="29" t="s">
        <v>4</v>
      </c>
    </row>
    <row r="310" spans="1:33" ht="12.75" customHeight="1">
      <c r="A310" s="26" t="s">
        <v>329</v>
      </c>
      <c r="B310" s="26">
        <v>30</v>
      </c>
      <c r="C310" s="26" t="s">
        <v>96</v>
      </c>
      <c r="D310" s="172">
        <f>B310/5</f>
        <v>6</v>
      </c>
      <c r="E310" s="173">
        <f>P311</f>
        <v>172.8</v>
      </c>
      <c r="F310" s="174"/>
      <c r="G310" s="175"/>
      <c r="H310" s="175"/>
      <c r="I310" s="175"/>
      <c r="J310" s="175"/>
      <c r="K310" s="175"/>
      <c r="L310" s="176"/>
      <c r="M310" s="9" t="s">
        <v>11</v>
      </c>
      <c r="N310" s="9" t="s">
        <v>12</v>
      </c>
      <c r="O310" s="9" t="s">
        <v>13</v>
      </c>
      <c r="P310" s="9" t="s">
        <v>4</v>
      </c>
      <c r="R310" s="236"/>
      <c r="S310" s="232"/>
      <c r="T310" s="230"/>
      <c r="U310" s="232"/>
      <c r="V310" s="230"/>
      <c r="W310" s="232"/>
      <c r="X310" s="230"/>
      <c r="Y310" s="232"/>
      <c r="Z310" s="230"/>
      <c r="AA310" s="232"/>
      <c r="AB310" s="232"/>
      <c r="AC310" s="234"/>
      <c r="AD310" s="26">
        <f>VLOOKUP(AC311,R311:AB312,5,0)</f>
        <v>6.3</v>
      </c>
      <c r="AE310" s="27">
        <f>VLOOKUP(AC311,R311:AB312,7,0)</f>
        <v>6.6</v>
      </c>
      <c r="AF310" s="28">
        <f>VLOOKUP(AC311,R311:AB312,9,0)</f>
        <v>14.7</v>
      </c>
      <c r="AG310" s="29">
        <f>VLOOKUP(AC311,R311:AB312,11,0)</f>
        <v>172.8</v>
      </c>
    </row>
    <row r="311" spans="1:33" ht="12.75" customHeight="1">
      <c r="A311" s="26" t="s">
        <v>0</v>
      </c>
      <c r="B311" s="26" t="s">
        <v>1</v>
      </c>
      <c r="C311" s="26" t="s">
        <v>2</v>
      </c>
      <c r="D311" s="172" t="s">
        <v>3</v>
      </c>
      <c r="E311" s="173" t="s">
        <v>4</v>
      </c>
      <c r="F311" s="174"/>
      <c r="G311" s="175"/>
      <c r="H311" s="175"/>
      <c r="I311" s="175"/>
      <c r="J311" s="175"/>
      <c r="K311" s="175"/>
      <c r="L311" s="176"/>
      <c r="M311" s="21">
        <f>B310*21/100</f>
        <v>6.3</v>
      </c>
      <c r="N311" s="21">
        <f>B310*22/100</f>
        <v>6.6</v>
      </c>
      <c r="O311" s="21">
        <f>B310*49/100</f>
        <v>14.7</v>
      </c>
      <c r="P311" s="21">
        <f>B310*576/100</f>
        <v>172.8</v>
      </c>
      <c r="R311" s="241" t="str">
        <f>A310</f>
        <v>بادام</v>
      </c>
      <c r="S311" s="238" t="s">
        <v>1</v>
      </c>
      <c r="T311" s="237">
        <f>B310</f>
        <v>30</v>
      </c>
      <c r="U311" s="238" t="s">
        <v>23</v>
      </c>
      <c r="V311" s="237">
        <f t="shared" si="483"/>
        <v>6.3</v>
      </c>
      <c r="W311" s="238" t="s">
        <v>24</v>
      </c>
      <c r="X311" s="237">
        <f t="shared" ref="X311" si="576">N311</f>
        <v>6.6</v>
      </c>
      <c r="Y311" s="238" t="s">
        <v>13</v>
      </c>
      <c r="Z311" s="237">
        <f t="shared" ref="Z311" si="577">O311</f>
        <v>14.7</v>
      </c>
      <c r="AA311" s="238" t="s">
        <v>4</v>
      </c>
      <c r="AB311" s="238">
        <f t="shared" ref="AB311" si="578">P311</f>
        <v>172.8</v>
      </c>
      <c r="AC311" s="239" t="str">
        <f>R311</f>
        <v>بادام</v>
      </c>
      <c r="AD311" s="26" t="s">
        <v>11</v>
      </c>
      <c r="AE311" s="27" t="s">
        <v>12</v>
      </c>
      <c r="AF311" s="28" t="s">
        <v>13</v>
      </c>
      <c r="AG311" s="29" t="s">
        <v>4</v>
      </c>
    </row>
    <row r="312" spans="1:33" ht="12.75" customHeight="1">
      <c r="A312" s="26" t="s">
        <v>330</v>
      </c>
      <c r="B312" s="26">
        <v>30</v>
      </c>
      <c r="C312" s="26" t="s">
        <v>96</v>
      </c>
      <c r="D312" s="172">
        <f>B312/6</f>
        <v>5</v>
      </c>
      <c r="E312" s="173">
        <f>P313</f>
        <v>195</v>
      </c>
      <c r="F312" s="174"/>
      <c r="G312" s="175"/>
      <c r="H312" s="175"/>
      <c r="I312" s="175"/>
      <c r="J312" s="175"/>
      <c r="K312" s="175"/>
      <c r="L312" s="176"/>
      <c r="M312" s="9" t="s">
        <v>11</v>
      </c>
      <c r="N312" s="9" t="s">
        <v>12</v>
      </c>
      <c r="O312" s="9" t="s">
        <v>13</v>
      </c>
      <c r="P312" s="9" t="s">
        <v>4</v>
      </c>
      <c r="R312" s="236"/>
      <c r="S312" s="232"/>
      <c r="T312" s="230"/>
      <c r="U312" s="232"/>
      <c r="V312" s="230"/>
      <c r="W312" s="232"/>
      <c r="X312" s="230"/>
      <c r="Y312" s="232"/>
      <c r="Z312" s="230"/>
      <c r="AA312" s="232"/>
      <c r="AB312" s="232"/>
      <c r="AC312" s="234"/>
      <c r="AD312" s="26">
        <f>VLOOKUP(AC313,R313:AB314,5,0)</f>
        <v>4.2</v>
      </c>
      <c r="AE312" s="27">
        <f>VLOOKUP(AC313,R313:AB314,7,0)</f>
        <v>1.8</v>
      </c>
      <c r="AF312" s="28">
        <f>VLOOKUP(AC313,R313:AB314,9,0)</f>
        <v>18.899999999999999</v>
      </c>
      <c r="AG312" s="29">
        <f>VLOOKUP(AC313,R313:AB314,11,0)</f>
        <v>195</v>
      </c>
    </row>
    <row r="313" spans="1:33" ht="12.75" customHeight="1">
      <c r="A313" s="26" t="s">
        <v>0</v>
      </c>
      <c r="B313" s="26" t="s">
        <v>1</v>
      </c>
      <c r="C313" s="26" t="s">
        <v>2</v>
      </c>
      <c r="D313" s="172" t="s">
        <v>3</v>
      </c>
      <c r="E313" s="173" t="s">
        <v>4</v>
      </c>
      <c r="F313" s="174"/>
      <c r="G313" s="175"/>
      <c r="H313" s="175"/>
      <c r="I313" s="175"/>
      <c r="J313" s="175"/>
      <c r="K313" s="175"/>
      <c r="L313" s="176"/>
      <c r="M313" s="21">
        <f>B312/100*14</f>
        <v>4.2</v>
      </c>
      <c r="N313" s="21">
        <f>B312*6/100</f>
        <v>1.8</v>
      </c>
      <c r="O313" s="21">
        <f>B312*63/100</f>
        <v>18.899999999999999</v>
      </c>
      <c r="P313" s="21">
        <f>B312*650/100</f>
        <v>195</v>
      </c>
      <c r="R313" s="241" t="str">
        <f>A312</f>
        <v>فندق</v>
      </c>
      <c r="S313" s="238" t="s">
        <v>1</v>
      </c>
      <c r="T313" s="237">
        <f>B312</f>
        <v>30</v>
      </c>
      <c r="U313" s="238" t="s">
        <v>23</v>
      </c>
      <c r="V313" s="237">
        <f t="shared" si="487"/>
        <v>4.2</v>
      </c>
      <c r="W313" s="238" t="s">
        <v>24</v>
      </c>
      <c r="X313" s="237">
        <f t="shared" ref="X313" si="579">N313</f>
        <v>1.8</v>
      </c>
      <c r="Y313" s="238" t="s">
        <v>13</v>
      </c>
      <c r="Z313" s="237">
        <f t="shared" ref="Z313" si="580">O313</f>
        <v>18.899999999999999</v>
      </c>
      <c r="AA313" s="238" t="s">
        <v>4</v>
      </c>
      <c r="AB313" s="238">
        <f t="shared" ref="AB313" si="581">P313</f>
        <v>195</v>
      </c>
      <c r="AC313" s="239" t="str">
        <f>R313</f>
        <v>فندق</v>
      </c>
      <c r="AD313" s="26" t="s">
        <v>11</v>
      </c>
      <c r="AE313" s="27" t="s">
        <v>12</v>
      </c>
      <c r="AF313" s="28" t="s">
        <v>13</v>
      </c>
      <c r="AG313" s="29" t="s">
        <v>4</v>
      </c>
    </row>
    <row r="314" spans="1:33" ht="14.25" customHeight="1">
      <c r="A314" s="26" t="s">
        <v>331</v>
      </c>
      <c r="B314" s="26">
        <v>30</v>
      </c>
      <c r="C314" s="26" t="s">
        <v>96</v>
      </c>
      <c r="D314" s="172">
        <f>B314/1.5</f>
        <v>20</v>
      </c>
      <c r="E314" s="173">
        <f>P315</f>
        <v>180</v>
      </c>
      <c r="F314" s="174"/>
      <c r="G314" s="175"/>
      <c r="H314" s="175"/>
      <c r="I314" s="175"/>
      <c r="J314" s="175"/>
      <c r="K314" s="175"/>
      <c r="L314" s="176"/>
      <c r="M314" s="9" t="s">
        <v>11</v>
      </c>
      <c r="N314" s="9" t="s">
        <v>12</v>
      </c>
      <c r="O314" s="9" t="s">
        <v>13</v>
      </c>
      <c r="P314" s="9" t="s">
        <v>4</v>
      </c>
      <c r="R314" s="236"/>
      <c r="S314" s="232"/>
      <c r="T314" s="230"/>
      <c r="U314" s="232"/>
      <c r="V314" s="230"/>
      <c r="W314" s="232"/>
      <c r="X314" s="230"/>
      <c r="Y314" s="232"/>
      <c r="Z314" s="230"/>
      <c r="AA314" s="232"/>
      <c r="AB314" s="232"/>
      <c r="AC314" s="234"/>
      <c r="AD314" s="26">
        <f>VLOOKUP(AC315,R315:AB316,5,0)</f>
        <v>5.4</v>
      </c>
      <c r="AE314" s="27">
        <f>VLOOKUP(AC315,R315:AB316,7,0)</f>
        <v>2.4</v>
      </c>
      <c r="AF314" s="28">
        <f>VLOOKUP(AC315,R315:AB316,9,0)</f>
        <v>16.5</v>
      </c>
      <c r="AG314" s="29">
        <f>VLOOKUP(AC315,R315:AB316,11,0)</f>
        <v>180</v>
      </c>
    </row>
    <row r="315" spans="1:33" ht="12.75" customHeight="1">
      <c r="A315" s="26" t="s">
        <v>0</v>
      </c>
      <c r="B315" s="26" t="s">
        <v>1</v>
      </c>
      <c r="C315" s="26" t="s">
        <v>2</v>
      </c>
      <c r="D315" s="172" t="s">
        <v>3</v>
      </c>
      <c r="E315" s="173" t="s">
        <v>4</v>
      </c>
      <c r="F315" s="174"/>
      <c r="G315" s="175"/>
      <c r="H315" s="175"/>
      <c r="I315" s="175"/>
      <c r="J315" s="175"/>
      <c r="K315" s="175"/>
      <c r="L315" s="176"/>
      <c r="M315" s="21">
        <f>B314*18/100</f>
        <v>5.4</v>
      </c>
      <c r="N315" s="21">
        <f>B314*8/100</f>
        <v>2.4</v>
      </c>
      <c r="O315" s="21">
        <f>B314*55/100</f>
        <v>16.5</v>
      </c>
      <c r="P315" s="21">
        <f>B314*600/100</f>
        <v>180</v>
      </c>
      <c r="R315" s="241" t="str">
        <f>A314</f>
        <v>پسته</v>
      </c>
      <c r="S315" s="238" t="s">
        <v>1</v>
      </c>
      <c r="T315" s="237">
        <f>B314</f>
        <v>30</v>
      </c>
      <c r="U315" s="238" t="s">
        <v>23</v>
      </c>
      <c r="V315" s="237">
        <f t="shared" si="492"/>
        <v>5.4</v>
      </c>
      <c r="W315" s="238" t="s">
        <v>24</v>
      </c>
      <c r="X315" s="237">
        <f t="shared" ref="X315" si="582">N315</f>
        <v>2.4</v>
      </c>
      <c r="Y315" s="238" t="s">
        <v>13</v>
      </c>
      <c r="Z315" s="237">
        <f t="shared" ref="Z315" si="583">O315</f>
        <v>16.5</v>
      </c>
      <c r="AA315" s="238" t="s">
        <v>4</v>
      </c>
      <c r="AB315" s="238">
        <f t="shared" ref="AB315" si="584">P315</f>
        <v>180</v>
      </c>
      <c r="AC315" s="239" t="str">
        <f>R315</f>
        <v>پسته</v>
      </c>
      <c r="AD315" s="26" t="s">
        <v>11</v>
      </c>
      <c r="AE315" s="27" t="s">
        <v>12</v>
      </c>
      <c r="AF315" s="28" t="s">
        <v>13</v>
      </c>
      <c r="AG315" s="29" t="s">
        <v>4</v>
      </c>
    </row>
    <row r="316" spans="1:33" ht="14.25" customHeight="1">
      <c r="A316" s="26" t="s">
        <v>332</v>
      </c>
      <c r="B316" s="26">
        <v>60</v>
      </c>
      <c r="C316" s="26" t="s">
        <v>96</v>
      </c>
      <c r="D316" s="172">
        <f>B316/3</f>
        <v>20</v>
      </c>
      <c r="E316" s="173">
        <f>P317</f>
        <v>337.2</v>
      </c>
      <c r="F316" s="174"/>
      <c r="G316" s="175"/>
      <c r="H316" s="175"/>
      <c r="I316" s="175"/>
      <c r="J316" s="175"/>
      <c r="K316" s="175"/>
      <c r="L316" s="176"/>
      <c r="M316" s="9" t="s">
        <v>11</v>
      </c>
      <c r="N316" s="9" t="s">
        <v>12</v>
      </c>
      <c r="O316" s="9" t="s">
        <v>13</v>
      </c>
      <c r="P316" s="9" t="s">
        <v>4</v>
      </c>
      <c r="R316" s="236"/>
      <c r="S316" s="232"/>
      <c r="T316" s="230"/>
      <c r="U316" s="232"/>
      <c r="V316" s="230"/>
      <c r="W316" s="232"/>
      <c r="X316" s="230"/>
      <c r="Y316" s="232"/>
      <c r="Z316" s="230"/>
      <c r="AA316" s="232"/>
      <c r="AB316" s="232"/>
      <c r="AC316" s="234"/>
      <c r="AD316" s="26">
        <f>VLOOKUP(AC317,R317:AB318,5,0)</f>
        <v>12</v>
      </c>
      <c r="AE316" s="27">
        <f>VLOOKUP(AC317,R317:AB318,7,0)</f>
        <v>16.8</v>
      </c>
      <c r="AF316" s="28">
        <f>VLOOKUP(AC317,R317:AB318,9,0)</f>
        <v>27</v>
      </c>
      <c r="AG316" s="29">
        <f>VLOOKUP(AC317,R317:AB318,11,0)</f>
        <v>337.2</v>
      </c>
    </row>
    <row r="317" spans="1:33" ht="12.75" customHeight="1">
      <c r="A317" s="26" t="s">
        <v>0</v>
      </c>
      <c r="B317" s="26" t="s">
        <v>1</v>
      </c>
      <c r="C317" s="26" t="s">
        <v>2</v>
      </c>
      <c r="D317" s="172" t="s">
        <v>3</v>
      </c>
      <c r="E317" s="173" t="s">
        <v>4</v>
      </c>
      <c r="F317" s="174"/>
      <c r="G317" s="175"/>
      <c r="H317" s="175"/>
      <c r="I317" s="175"/>
      <c r="J317" s="175"/>
      <c r="K317" s="175"/>
      <c r="L317" s="176"/>
      <c r="M317" s="21">
        <f>B316*20/100</f>
        <v>12</v>
      </c>
      <c r="N317" s="21">
        <f>B316*28/100</f>
        <v>16.8</v>
      </c>
      <c r="O317" s="21">
        <f>B316*45/100</f>
        <v>27</v>
      </c>
      <c r="P317" s="21">
        <f>B316*562/100</f>
        <v>337.2</v>
      </c>
      <c r="R317" s="241" t="str">
        <f>A316</f>
        <v>پسته تازه</v>
      </c>
      <c r="S317" s="238" t="s">
        <v>1</v>
      </c>
      <c r="T317" s="237">
        <f>B316</f>
        <v>60</v>
      </c>
      <c r="U317" s="238" t="s">
        <v>23</v>
      </c>
      <c r="V317" s="237">
        <f t="shared" si="497"/>
        <v>12</v>
      </c>
      <c r="W317" s="238" t="s">
        <v>24</v>
      </c>
      <c r="X317" s="237">
        <f t="shared" ref="X317" si="585">N317</f>
        <v>16.8</v>
      </c>
      <c r="Y317" s="238" t="s">
        <v>13</v>
      </c>
      <c r="Z317" s="237">
        <f t="shared" ref="Z317" si="586">O317</f>
        <v>27</v>
      </c>
      <c r="AA317" s="238" t="s">
        <v>4</v>
      </c>
      <c r="AB317" s="238">
        <f t="shared" ref="AB317" si="587">P317</f>
        <v>337.2</v>
      </c>
      <c r="AC317" s="239" t="str">
        <f>R317</f>
        <v>پسته تازه</v>
      </c>
      <c r="AD317" s="26" t="s">
        <v>11</v>
      </c>
      <c r="AE317" s="27" t="s">
        <v>12</v>
      </c>
      <c r="AF317" s="28" t="s">
        <v>13</v>
      </c>
      <c r="AG317" s="29" t="s">
        <v>4</v>
      </c>
    </row>
    <row r="318" spans="1:33" ht="12.75" customHeight="1">
      <c r="A318" s="26" t="s">
        <v>333</v>
      </c>
      <c r="B318" s="26">
        <v>30</v>
      </c>
      <c r="C318" s="26" t="s">
        <v>89</v>
      </c>
      <c r="D318" s="172">
        <f>B318</f>
        <v>30</v>
      </c>
      <c r="E318" s="173">
        <f>P319</f>
        <v>174.3</v>
      </c>
      <c r="F318" s="174"/>
      <c r="G318" s="175"/>
      <c r="H318" s="175"/>
      <c r="I318" s="175"/>
      <c r="J318" s="175"/>
      <c r="K318" s="175"/>
      <c r="L318" s="176"/>
      <c r="M318" s="9" t="s">
        <v>11</v>
      </c>
      <c r="N318" s="9" t="s">
        <v>12</v>
      </c>
      <c r="O318" s="9" t="s">
        <v>13</v>
      </c>
      <c r="P318" s="9" t="s">
        <v>4</v>
      </c>
      <c r="R318" s="236"/>
      <c r="S318" s="232"/>
      <c r="T318" s="230"/>
      <c r="U318" s="232"/>
      <c r="V318" s="230"/>
      <c r="W318" s="232"/>
      <c r="X318" s="230"/>
      <c r="Y318" s="232"/>
      <c r="Z318" s="230"/>
      <c r="AA318" s="232"/>
      <c r="AB318" s="232"/>
      <c r="AC318" s="234"/>
      <c r="AD318" s="26">
        <f>VLOOKUP(AC319,R319:AB320,5,0)</f>
        <v>5.94</v>
      </c>
      <c r="AE318" s="27">
        <f>VLOOKUP(AC319,R319:AB320,7,0)</f>
        <v>5.58</v>
      </c>
      <c r="AF318" s="28">
        <f>VLOOKUP(AC319,R319:AB320,9,0)</f>
        <v>14.25</v>
      </c>
      <c r="AG318" s="29">
        <f>VLOOKUP(AC319,R319:AB320,11,0)</f>
        <v>174.3</v>
      </c>
    </row>
    <row r="319" spans="1:33" ht="12.75" customHeight="1">
      <c r="A319" s="26" t="s">
        <v>0</v>
      </c>
      <c r="B319" s="26" t="s">
        <v>1</v>
      </c>
      <c r="C319" s="26" t="s">
        <v>2</v>
      </c>
      <c r="D319" s="172" t="s">
        <v>3</v>
      </c>
      <c r="E319" s="173" t="s">
        <v>4</v>
      </c>
      <c r="F319" s="174"/>
      <c r="G319" s="175"/>
      <c r="H319" s="175"/>
      <c r="I319" s="175"/>
      <c r="J319" s="175"/>
      <c r="K319" s="175"/>
      <c r="L319" s="176"/>
      <c r="M319" s="21">
        <f>B318*19.8/100</f>
        <v>5.94</v>
      </c>
      <c r="N319" s="21">
        <f>B318*18.6/100</f>
        <v>5.58</v>
      </c>
      <c r="O319" s="21">
        <f>B318*47.5/100</f>
        <v>14.25</v>
      </c>
      <c r="P319" s="21">
        <f>B318*581/100</f>
        <v>174.3</v>
      </c>
      <c r="R319" s="241" t="str">
        <f>A318</f>
        <v>تخمه آفتابگردان</v>
      </c>
      <c r="S319" s="238" t="s">
        <v>1</v>
      </c>
      <c r="T319" s="237">
        <f>B318</f>
        <v>30</v>
      </c>
      <c r="U319" s="238" t="s">
        <v>23</v>
      </c>
      <c r="V319" s="237">
        <f t="shared" si="502"/>
        <v>5.94</v>
      </c>
      <c r="W319" s="238" t="s">
        <v>24</v>
      </c>
      <c r="X319" s="237">
        <f t="shared" ref="X319" si="588">N319</f>
        <v>5.58</v>
      </c>
      <c r="Y319" s="238" t="s">
        <v>13</v>
      </c>
      <c r="Z319" s="237">
        <f t="shared" ref="Z319" si="589">O319</f>
        <v>14.25</v>
      </c>
      <c r="AA319" s="238" t="s">
        <v>4</v>
      </c>
      <c r="AB319" s="238">
        <f t="shared" ref="AB319" si="590">P319</f>
        <v>174.3</v>
      </c>
      <c r="AC319" s="239" t="str">
        <f>R319</f>
        <v>تخمه آفتابگردان</v>
      </c>
      <c r="AD319" s="26" t="s">
        <v>11</v>
      </c>
      <c r="AE319" s="27" t="s">
        <v>12</v>
      </c>
      <c r="AF319" s="28" t="s">
        <v>13</v>
      </c>
      <c r="AG319" s="29" t="s">
        <v>4</v>
      </c>
    </row>
    <row r="320" spans="1:33" ht="12.75" customHeight="1">
      <c r="A320" s="26" t="s">
        <v>334</v>
      </c>
      <c r="B320" s="26">
        <v>30</v>
      </c>
      <c r="C320" s="26" t="s">
        <v>89</v>
      </c>
      <c r="D320" s="172">
        <f>B320</f>
        <v>30</v>
      </c>
      <c r="E320" s="173">
        <f>P321</f>
        <v>172.2</v>
      </c>
      <c r="F320" s="174"/>
      <c r="G320" s="175"/>
      <c r="H320" s="175"/>
      <c r="I320" s="175"/>
      <c r="J320" s="175"/>
      <c r="K320" s="175"/>
      <c r="L320" s="176"/>
      <c r="M320" s="9" t="s">
        <v>11</v>
      </c>
      <c r="N320" s="9" t="s">
        <v>12</v>
      </c>
      <c r="O320" s="9" t="s">
        <v>13</v>
      </c>
      <c r="P320" s="9" t="s">
        <v>4</v>
      </c>
      <c r="R320" s="236"/>
      <c r="S320" s="232"/>
      <c r="T320" s="230"/>
      <c r="U320" s="232"/>
      <c r="V320" s="230"/>
      <c r="W320" s="232"/>
      <c r="X320" s="230"/>
      <c r="Y320" s="232"/>
      <c r="Z320" s="230"/>
      <c r="AA320" s="232"/>
      <c r="AB320" s="232"/>
      <c r="AC320" s="234"/>
      <c r="AD320" s="26">
        <f>VLOOKUP(AC321,R321:AB322,5,0)</f>
        <v>9</v>
      </c>
      <c r="AE320" s="27">
        <f>VLOOKUP(AC321,R321:AB322,7,0)</f>
        <v>4.5</v>
      </c>
      <c r="AF320" s="28">
        <f>VLOOKUP(AC321,R321:AB322,9,0)</f>
        <v>15</v>
      </c>
      <c r="AG320" s="29">
        <f>VLOOKUP(AC321,R321:AB322,11,0)</f>
        <v>172.2</v>
      </c>
    </row>
    <row r="321" spans="1:34" ht="12.75" customHeight="1">
      <c r="A321" s="26" t="s">
        <v>0</v>
      </c>
      <c r="B321" s="26" t="s">
        <v>1</v>
      </c>
      <c r="C321" s="26" t="s">
        <v>2</v>
      </c>
      <c r="D321" s="172" t="s">
        <v>3</v>
      </c>
      <c r="E321" s="173" t="s">
        <v>4</v>
      </c>
      <c r="F321" s="174"/>
      <c r="G321" s="175"/>
      <c r="H321" s="175"/>
      <c r="I321" s="175"/>
      <c r="J321" s="175"/>
      <c r="K321" s="175"/>
      <c r="L321" s="176"/>
      <c r="M321" s="21">
        <f>B320*30/100</f>
        <v>9</v>
      </c>
      <c r="N321" s="21">
        <f>B320*15/100</f>
        <v>4.5</v>
      </c>
      <c r="O321" s="21">
        <f>B320*50/100</f>
        <v>15</v>
      </c>
      <c r="P321" s="21">
        <f>B320*574/100</f>
        <v>172.2</v>
      </c>
      <c r="R321" s="241" t="str">
        <f>A320</f>
        <v>تخمه کدو</v>
      </c>
      <c r="S321" s="238" t="s">
        <v>1</v>
      </c>
      <c r="T321" s="237">
        <f>B320</f>
        <v>30</v>
      </c>
      <c r="U321" s="238" t="s">
        <v>23</v>
      </c>
      <c r="V321" s="237">
        <f t="shared" si="507"/>
        <v>9</v>
      </c>
      <c r="W321" s="238" t="s">
        <v>24</v>
      </c>
      <c r="X321" s="237">
        <f t="shared" ref="X321" si="591">N321</f>
        <v>4.5</v>
      </c>
      <c r="Y321" s="238" t="s">
        <v>13</v>
      </c>
      <c r="Z321" s="237">
        <f t="shared" ref="Z321" si="592">O321</f>
        <v>15</v>
      </c>
      <c r="AA321" s="238" t="s">
        <v>4</v>
      </c>
      <c r="AB321" s="238">
        <f t="shared" ref="AB321" si="593">P321</f>
        <v>172.2</v>
      </c>
      <c r="AC321" s="239" t="str">
        <f>R321</f>
        <v>تخمه کدو</v>
      </c>
      <c r="AD321" s="26" t="s">
        <v>11</v>
      </c>
      <c r="AE321" s="27" t="s">
        <v>12</v>
      </c>
      <c r="AF321" s="28" t="s">
        <v>13</v>
      </c>
      <c r="AG321" s="29" t="s">
        <v>4</v>
      </c>
    </row>
    <row r="322" spans="1:34" ht="12.75" customHeight="1">
      <c r="A322" s="26" t="s">
        <v>335</v>
      </c>
      <c r="B322" s="26">
        <v>30</v>
      </c>
      <c r="C322" s="26" t="s">
        <v>89</v>
      </c>
      <c r="D322" s="172">
        <f>B322</f>
        <v>30</v>
      </c>
      <c r="E322" s="173">
        <f>P323</f>
        <v>174</v>
      </c>
      <c r="F322" s="174"/>
      <c r="G322" s="175"/>
      <c r="H322" s="175"/>
      <c r="I322" s="175"/>
      <c r="J322" s="175"/>
      <c r="K322" s="175"/>
      <c r="L322" s="176"/>
      <c r="M322" s="9" t="s">
        <v>11</v>
      </c>
      <c r="N322" s="9" t="s">
        <v>12</v>
      </c>
      <c r="O322" s="9" t="s">
        <v>13</v>
      </c>
      <c r="P322" s="9" t="s">
        <v>4</v>
      </c>
      <c r="R322" s="236"/>
      <c r="S322" s="232"/>
      <c r="T322" s="230"/>
      <c r="U322" s="232"/>
      <c r="V322" s="230"/>
      <c r="W322" s="232"/>
      <c r="X322" s="230"/>
      <c r="Y322" s="232"/>
      <c r="Z322" s="230"/>
      <c r="AA322" s="232"/>
      <c r="AB322" s="232"/>
      <c r="AC322" s="234"/>
      <c r="AD322" s="26">
        <f>VLOOKUP(AC323,R323:AB324,5,0)</f>
        <v>5.4</v>
      </c>
      <c r="AE322" s="27">
        <f>VLOOKUP(AC323,R323:AB324,7,0)</f>
        <v>6.9</v>
      </c>
      <c r="AF322" s="28">
        <f>VLOOKUP(AC323,R323:AB324,9,0)</f>
        <v>15</v>
      </c>
      <c r="AG322" s="29">
        <f>VLOOKUP(AC323,R323:AB324,11,0)</f>
        <v>174</v>
      </c>
    </row>
    <row r="323" spans="1:34" ht="12.75" customHeight="1">
      <c r="A323" s="26" t="s">
        <v>0</v>
      </c>
      <c r="B323" s="26" t="s">
        <v>1</v>
      </c>
      <c r="C323" s="26" t="s">
        <v>2</v>
      </c>
      <c r="D323" s="172" t="s">
        <v>3</v>
      </c>
      <c r="E323" s="173" t="s">
        <v>4</v>
      </c>
      <c r="F323" s="174"/>
      <c r="G323" s="175"/>
      <c r="H323" s="175"/>
      <c r="I323" s="175"/>
      <c r="J323" s="175"/>
      <c r="K323" s="175"/>
      <c r="L323" s="176"/>
      <c r="M323" s="21">
        <f>B322*18/100</f>
        <v>5.4</v>
      </c>
      <c r="N323" s="21">
        <f>B322*23/100</f>
        <v>6.9</v>
      </c>
      <c r="O323" s="21">
        <f>B322*50/100</f>
        <v>15</v>
      </c>
      <c r="P323" s="21">
        <f>B322*580/100</f>
        <v>174</v>
      </c>
      <c r="R323" s="241" t="str">
        <f>A322</f>
        <v>کنجد</v>
      </c>
      <c r="S323" s="238" t="s">
        <v>1</v>
      </c>
      <c r="T323" s="237">
        <f>B322</f>
        <v>30</v>
      </c>
      <c r="U323" s="238" t="s">
        <v>23</v>
      </c>
      <c r="V323" s="237">
        <f t="shared" si="512"/>
        <v>5.4</v>
      </c>
      <c r="W323" s="238" t="s">
        <v>24</v>
      </c>
      <c r="X323" s="237">
        <f t="shared" ref="X323" si="594">N323</f>
        <v>6.9</v>
      </c>
      <c r="Y323" s="238" t="s">
        <v>13</v>
      </c>
      <c r="Z323" s="237">
        <f t="shared" ref="Z323" si="595">O323</f>
        <v>15</v>
      </c>
      <c r="AA323" s="238" t="s">
        <v>4</v>
      </c>
      <c r="AB323" s="238">
        <f t="shared" ref="AB323" si="596">P323</f>
        <v>174</v>
      </c>
      <c r="AC323" s="239" t="str">
        <f>R323</f>
        <v>کنجد</v>
      </c>
      <c r="AD323" s="26" t="s">
        <v>11</v>
      </c>
      <c r="AE323" s="27" t="s">
        <v>12</v>
      </c>
      <c r="AF323" s="28" t="s">
        <v>13</v>
      </c>
      <c r="AG323" s="29" t="s">
        <v>4</v>
      </c>
    </row>
    <row r="324" spans="1:34" ht="12.75" customHeight="1">
      <c r="A324" s="26" t="s">
        <v>336</v>
      </c>
      <c r="B324" s="26">
        <v>30</v>
      </c>
      <c r="C324" s="26" t="s">
        <v>96</v>
      </c>
      <c r="D324" s="172">
        <f>B324/7.5</f>
        <v>4</v>
      </c>
      <c r="E324" s="173">
        <f>P325</f>
        <v>171.9</v>
      </c>
      <c r="F324" s="174"/>
      <c r="G324" s="175"/>
      <c r="H324" s="175"/>
      <c r="I324" s="175"/>
      <c r="J324" s="175"/>
      <c r="K324" s="175"/>
      <c r="L324" s="176"/>
      <c r="M324" s="9" t="s">
        <v>11</v>
      </c>
      <c r="N324" s="9" t="s">
        <v>12</v>
      </c>
      <c r="O324" s="9" t="s">
        <v>13</v>
      </c>
      <c r="P324" s="9" t="s">
        <v>4</v>
      </c>
      <c r="R324" s="236"/>
      <c r="S324" s="232"/>
      <c r="T324" s="230"/>
      <c r="U324" s="232"/>
      <c r="V324" s="230"/>
      <c r="W324" s="232"/>
      <c r="X324" s="230"/>
      <c r="Y324" s="232"/>
      <c r="Z324" s="230"/>
      <c r="AA324" s="232"/>
      <c r="AB324" s="232"/>
      <c r="AC324" s="234"/>
      <c r="AD324" s="26">
        <f>VLOOKUP(AC325,R325:AB326,5,0)</f>
        <v>5.4</v>
      </c>
      <c r="AE324" s="27">
        <f>VLOOKUP(AC325,R325:AB326,7,0)</f>
        <v>5.0999999999999996</v>
      </c>
      <c r="AF324" s="28">
        <f>VLOOKUP(AC325,R325:AB326,9,0)</f>
        <v>14.4</v>
      </c>
      <c r="AG324" s="29">
        <f>VLOOKUP(AC325,R325:AB326,11,0)</f>
        <v>171.9</v>
      </c>
    </row>
    <row r="325" spans="1:34" ht="12.75" customHeight="1">
      <c r="A325" s="26" t="s">
        <v>0</v>
      </c>
      <c r="B325" s="26" t="s">
        <v>1</v>
      </c>
      <c r="C325" s="26" t="s">
        <v>2</v>
      </c>
      <c r="D325" s="172" t="s">
        <v>3</v>
      </c>
      <c r="E325" s="173" t="s">
        <v>4</v>
      </c>
      <c r="F325" s="174"/>
      <c r="G325" s="175"/>
      <c r="H325" s="175"/>
      <c r="I325" s="175"/>
      <c r="J325" s="175"/>
      <c r="K325" s="175"/>
      <c r="L325" s="176"/>
      <c r="M325" s="21">
        <f>B324*18/100</f>
        <v>5.4</v>
      </c>
      <c r="N325" s="21">
        <f>B324*17/100</f>
        <v>5.0999999999999996</v>
      </c>
      <c r="O325" s="21">
        <f>B324*48/100</f>
        <v>14.4</v>
      </c>
      <c r="P325" s="21">
        <f>B324*573/100</f>
        <v>171.9</v>
      </c>
      <c r="R325" s="241" t="str">
        <f>A324</f>
        <v>بادام هندی</v>
      </c>
      <c r="S325" s="238" t="s">
        <v>1</v>
      </c>
      <c r="T325" s="237">
        <f>B324</f>
        <v>30</v>
      </c>
      <c r="U325" s="238" t="s">
        <v>23</v>
      </c>
      <c r="V325" s="237">
        <f t="shared" si="516"/>
        <v>5.4</v>
      </c>
      <c r="W325" s="238" t="s">
        <v>24</v>
      </c>
      <c r="X325" s="237">
        <f t="shared" ref="X325" si="597">N325</f>
        <v>5.0999999999999996</v>
      </c>
      <c r="Y325" s="238" t="s">
        <v>13</v>
      </c>
      <c r="Z325" s="237">
        <f t="shared" ref="Z325" si="598">O325</f>
        <v>14.4</v>
      </c>
      <c r="AA325" s="238" t="s">
        <v>4</v>
      </c>
      <c r="AB325" s="238">
        <f t="shared" ref="AB325" si="599">P325</f>
        <v>171.9</v>
      </c>
      <c r="AC325" s="239" t="str">
        <f>R325</f>
        <v>بادام هندی</v>
      </c>
      <c r="AD325" s="26" t="s">
        <v>11</v>
      </c>
      <c r="AE325" s="27" t="s">
        <v>12</v>
      </c>
      <c r="AF325" s="28" t="s">
        <v>13</v>
      </c>
      <c r="AG325" s="29" t="s">
        <v>4</v>
      </c>
    </row>
    <row r="326" spans="1:34" ht="12.75" customHeight="1">
      <c r="A326" s="26" t="s">
        <v>337</v>
      </c>
      <c r="B326" s="26">
        <v>30</v>
      </c>
      <c r="C326" s="26" t="s">
        <v>89</v>
      </c>
      <c r="D326" s="172">
        <f>B326</f>
        <v>30</v>
      </c>
      <c r="E326" s="173">
        <f>P327</f>
        <v>133.80000000000001</v>
      </c>
      <c r="F326" s="174"/>
      <c r="G326" s="175"/>
      <c r="H326" s="175"/>
      <c r="I326" s="175"/>
      <c r="J326" s="175"/>
      <c r="K326" s="175"/>
      <c r="L326" s="176"/>
      <c r="M326" s="9" t="s">
        <v>11</v>
      </c>
      <c r="N326" s="9" t="s">
        <v>12</v>
      </c>
      <c r="O326" s="9" t="s">
        <v>13</v>
      </c>
      <c r="P326" s="9" t="s">
        <v>4</v>
      </c>
      <c r="R326" s="236"/>
      <c r="S326" s="232"/>
      <c r="T326" s="230"/>
      <c r="U326" s="232"/>
      <c r="V326" s="230"/>
      <c r="W326" s="232"/>
      <c r="X326" s="230"/>
      <c r="Y326" s="232"/>
      <c r="Z326" s="230"/>
      <c r="AA326" s="232"/>
      <c r="AB326" s="232"/>
      <c r="AC326" s="234"/>
      <c r="AD326" s="26">
        <f>VLOOKUP(AC327,R327:AB328,5,0)</f>
        <v>10.8</v>
      </c>
      <c r="AE326" s="27">
        <f>VLOOKUP(AC327,R327:AB328,7,0)</f>
        <v>9</v>
      </c>
      <c r="AF326" s="28">
        <f>VLOOKUP(AC327,R327:AB328,9,0)</f>
        <v>6</v>
      </c>
      <c r="AG326" s="29">
        <f>VLOOKUP(AC327,R327:AB328,11,0)</f>
        <v>133.80000000000001</v>
      </c>
    </row>
    <row r="327" spans="1:34" ht="12.75" customHeight="1">
      <c r="A327" s="26" t="s">
        <v>0</v>
      </c>
      <c r="B327" s="26" t="s">
        <v>1</v>
      </c>
      <c r="C327" s="26" t="s">
        <v>2</v>
      </c>
      <c r="D327" s="172" t="s">
        <v>3</v>
      </c>
      <c r="E327" s="173" t="s">
        <v>4</v>
      </c>
      <c r="F327" s="174"/>
      <c r="G327" s="175"/>
      <c r="H327" s="175"/>
      <c r="I327" s="175"/>
      <c r="J327" s="175"/>
      <c r="K327" s="175"/>
      <c r="L327" s="176"/>
      <c r="M327" s="21">
        <f>B326*36/100</f>
        <v>10.8</v>
      </c>
      <c r="N327" s="21">
        <f>B326*30/100</f>
        <v>9</v>
      </c>
      <c r="O327" s="21">
        <f>B326*20/100</f>
        <v>6</v>
      </c>
      <c r="P327" s="21">
        <f>B326*446/100</f>
        <v>133.80000000000001</v>
      </c>
      <c r="R327" s="241" t="str">
        <f>A326</f>
        <v>آجیل سویا</v>
      </c>
      <c r="S327" s="238" t="s">
        <v>1</v>
      </c>
      <c r="T327" s="237">
        <f>B326</f>
        <v>30</v>
      </c>
      <c r="U327" s="238" t="s">
        <v>23</v>
      </c>
      <c r="V327" s="237">
        <f t="shared" si="520"/>
        <v>10.8</v>
      </c>
      <c r="W327" s="238" t="s">
        <v>24</v>
      </c>
      <c r="X327" s="237">
        <f t="shared" ref="X327" si="600">N327</f>
        <v>9</v>
      </c>
      <c r="Y327" s="238" t="s">
        <v>13</v>
      </c>
      <c r="Z327" s="237">
        <f t="shared" ref="Z327" si="601">O327</f>
        <v>6</v>
      </c>
      <c r="AA327" s="238" t="s">
        <v>4</v>
      </c>
      <c r="AB327" s="238">
        <f t="shared" ref="AB327" si="602">P327</f>
        <v>133.80000000000001</v>
      </c>
      <c r="AC327" s="239" t="str">
        <f>R327</f>
        <v>آجیل سویا</v>
      </c>
      <c r="AD327" s="26" t="s">
        <v>11</v>
      </c>
      <c r="AE327" s="27" t="s">
        <v>12</v>
      </c>
      <c r="AF327" s="28" t="s">
        <v>13</v>
      </c>
      <c r="AG327" s="29" t="s">
        <v>4</v>
      </c>
    </row>
    <row r="328" spans="1:34" ht="12.75" customHeight="1">
      <c r="A328" s="26" t="s">
        <v>338</v>
      </c>
      <c r="B328" s="26">
        <v>30</v>
      </c>
      <c r="C328" s="26" t="s">
        <v>89</v>
      </c>
      <c r="D328" s="172">
        <f>B328</f>
        <v>30</v>
      </c>
      <c r="E328" s="173">
        <f>P329</f>
        <v>112.5</v>
      </c>
      <c r="F328" s="174"/>
      <c r="G328" s="175"/>
      <c r="H328" s="175"/>
      <c r="I328" s="175"/>
      <c r="J328" s="175"/>
      <c r="K328" s="175"/>
      <c r="L328" s="176"/>
      <c r="M328" s="9" t="s">
        <v>11</v>
      </c>
      <c r="N328" s="9" t="s">
        <v>12</v>
      </c>
      <c r="O328" s="9" t="s">
        <v>13</v>
      </c>
      <c r="P328" s="9" t="s">
        <v>4</v>
      </c>
      <c r="R328" s="236"/>
      <c r="S328" s="232"/>
      <c r="T328" s="230"/>
      <c r="U328" s="232"/>
      <c r="V328" s="230"/>
      <c r="W328" s="232"/>
      <c r="X328" s="230"/>
      <c r="Y328" s="232"/>
      <c r="Z328" s="230"/>
      <c r="AA328" s="232"/>
      <c r="AB328" s="232"/>
      <c r="AC328" s="234"/>
      <c r="AD328" s="26">
        <f>VLOOKUP(AC329,R329:AB330,5,0)</f>
        <v>3.3</v>
      </c>
      <c r="AE328" s="27">
        <f>VLOOKUP(AC329,R329:AB330,7,0)</f>
        <v>22.2</v>
      </c>
      <c r="AF328" s="28">
        <f>VLOOKUP(AC329,R329:AB330,9,0)</f>
        <v>1.29</v>
      </c>
      <c r="AG328" s="29">
        <f>VLOOKUP(AC329,R329:AB330,11,0)</f>
        <v>112.5</v>
      </c>
    </row>
    <row r="329" spans="1:34" ht="12.75" customHeight="1">
      <c r="A329" s="26" t="s">
        <v>0</v>
      </c>
      <c r="B329" s="26" t="s">
        <v>1</v>
      </c>
      <c r="C329" s="26" t="s">
        <v>2</v>
      </c>
      <c r="D329" s="172" t="s">
        <v>3</v>
      </c>
      <c r="E329" s="173" t="s">
        <v>4</v>
      </c>
      <c r="F329" s="174"/>
      <c r="G329" s="175"/>
      <c r="H329" s="175"/>
      <c r="I329" s="175"/>
      <c r="J329" s="175"/>
      <c r="K329" s="175"/>
      <c r="L329" s="176"/>
      <c r="M329" s="21">
        <f>B328*11/100</f>
        <v>3.3</v>
      </c>
      <c r="N329" s="21">
        <f>B328*74/100</f>
        <v>22.2</v>
      </c>
      <c r="O329" s="21">
        <f>B328*4.3/100</f>
        <v>1.29</v>
      </c>
      <c r="P329" s="21">
        <f>B328*375/100</f>
        <v>112.5</v>
      </c>
      <c r="R329" s="241" t="str">
        <f>A328</f>
        <v>پاپ کورن</v>
      </c>
      <c r="S329" s="238" t="s">
        <v>1</v>
      </c>
      <c r="T329" s="237">
        <f>B328</f>
        <v>30</v>
      </c>
      <c r="U329" s="238" t="s">
        <v>23</v>
      </c>
      <c r="V329" s="237">
        <f t="shared" ref="V329" si="603">M329</f>
        <v>3.3</v>
      </c>
      <c r="W329" s="238" t="s">
        <v>24</v>
      </c>
      <c r="X329" s="237">
        <f t="shared" ref="X329" si="604">N329</f>
        <v>22.2</v>
      </c>
      <c r="Y329" s="238" t="s">
        <v>13</v>
      </c>
      <c r="Z329" s="237">
        <f t="shared" ref="Z329" si="605">O329</f>
        <v>1.29</v>
      </c>
      <c r="AA329" s="238" t="s">
        <v>4</v>
      </c>
      <c r="AB329" s="238">
        <f t="shared" ref="AB329" si="606">P329</f>
        <v>112.5</v>
      </c>
      <c r="AC329" s="239" t="str">
        <f>R329</f>
        <v>پاپ کورن</v>
      </c>
      <c r="AD329" s="26" t="s">
        <v>11</v>
      </c>
      <c r="AE329" s="27" t="s">
        <v>12</v>
      </c>
      <c r="AF329" s="28" t="s">
        <v>13</v>
      </c>
      <c r="AG329" s="29" t="s">
        <v>4</v>
      </c>
    </row>
    <row r="330" spans="1:34">
      <c r="A330" s="177" t="s">
        <v>339</v>
      </c>
      <c r="B330" s="177">
        <v>30</v>
      </c>
      <c r="C330" s="177" t="s">
        <v>89</v>
      </c>
      <c r="D330" s="215">
        <f>B330</f>
        <v>30</v>
      </c>
      <c r="E330" s="216">
        <f>P331</f>
        <v>54</v>
      </c>
      <c r="F330" s="217"/>
      <c r="G330" s="218"/>
      <c r="H330" s="218"/>
      <c r="I330" s="218"/>
      <c r="J330" s="218"/>
      <c r="K330" s="218"/>
      <c r="L330" s="219"/>
      <c r="M330" s="9" t="s">
        <v>11</v>
      </c>
      <c r="N330" s="9" t="s">
        <v>12</v>
      </c>
      <c r="O330" s="9" t="s">
        <v>13</v>
      </c>
      <c r="P330" s="9" t="s">
        <v>4</v>
      </c>
      <c r="R330" s="236"/>
      <c r="S330" s="232"/>
      <c r="T330" s="230"/>
      <c r="U330" s="232"/>
      <c r="V330" s="230"/>
      <c r="W330" s="232"/>
      <c r="X330" s="230"/>
      <c r="Y330" s="232"/>
      <c r="Z330" s="230"/>
      <c r="AA330" s="232"/>
      <c r="AB330" s="232"/>
      <c r="AC330" s="234"/>
      <c r="AD330" s="177">
        <f>VLOOKUP(AC331,R331:AB331,5,0)</f>
        <v>1.02</v>
      </c>
      <c r="AE330" s="178">
        <f>VLOOKUP(AC331,R331:AB331,7,0)</f>
        <v>15.9</v>
      </c>
      <c r="AF330" s="179">
        <f>VLOOKUP(AC331,R331:AB331,9,0)</f>
        <v>0</v>
      </c>
      <c r="AG330" s="180">
        <f>VLOOKUP(AC331,R331:AB331,11,0)</f>
        <v>54</v>
      </c>
    </row>
    <row r="331" spans="1:34" s="222" customFormat="1" ht="21.75" thickBot="1">
      <c r="A331" s="181" t="s">
        <v>0</v>
      </c>
      <c r="B331" s="181" t="s">
        <v>1</v>
      </c>
      <c r="C331" s="181" t="s">
        <v>2</v>
      </c>
      <c r="D331" s="220" t="s">
        <v>3</v>
      </c>
      <c r="E331" s="181" t="s">
        <v>4</v>
      </c>
      <c r="F331" s="221"/>
      <c r="G331" s="221"/>
      <c r="H331" s="221"/>
      <c r="I331" s="221"/>
      <c r="J331" s="221"/>
      <c r="K331" s="221"/>
      <c r="L331" s="221"/>
      <c r="M331" s="222">
        <f>B330*3.4/100</f>
        <v>1.02</v>
      </c>
      <c r="N331" s="222">
        <f>B330*53/100</f>
        <v>15.9</v>
      </c>
      <c r="O331" s="222">
        <v>0</v>
      </c>
      <c r="P331" s="222">
        <f>B330*180/100</f>
        <v>54</v>
      </c>
      <c r="R331" s="223" t="str">
        <f>A330</f>
        <v>لواشک</v>
      </c>
      <c r="S331" s="224" t="s">
        <v>1</v>
      </c>
      <c r="T331" s="225">
        <f>B330</f>
        <v>30</v>
      </c>
      <c r="U331" s="224" t="s">
        <v>23</v>
      </c>
      <c r="V331" s="225">
        <f t="shared" ref="V331" si="607">M331</f>
        <v>1.02</v>
      </c>
      <c r="W331" s="224" t="s">
        <v>24</v>
      </c>
      <c r="X331" s="225">
        <f t="shared" ref="X331" si="608">N331</f>
        <v>15.9</v>
      </c>
      <c r="Y331" s="224" t="s">
        <v>13</v>
      </c>
      <c r="Z331" s="225">
        <f t="shared" ref="Z331" si="609">O331</f>
        <v>0</v>
      </c>
      <c r="AA331" s="224" t="s">
        <v>4</v>
      </c>
      <c r="AB331" s="224">
        <f t="shared" ref="AB331" si="610">P331</f>
        <v>54</v>
      </c>
      <c r="AC331" s="223" t="str">
        <f>R331</f>
        <v>لواشک</v>
      </c>
      <c r="AD331" s="181" t="s">
        <v>11</v>
      </c>
      <c r="AE331" s="182" t="s">
        <v>12</v>
      </c>
      <c r="AF331" s="183" t="s">
        <v>13</v>
      </c>
      <c r="AG331" s="226" t="s">
        <v>4</v>
      </c>
    </row>
    <row r="332" spans="1:34" s="101" customFormat="1" ht="12.75" customHeight="1" thickBot="1">
      <c r="A332" s="21"/>
      <c r="B332" s="21"/>
      <c r="C332" s="9"/>
      <c r="D332" s="189"/>
      <c r="E332" s="21"/>
      <c r="F332" s="156"/>
      <c r="G332" s="157"/>
      <c r="H332" s="157"/>
      <c r="I332" s="157"/>
      <c r="J332" s="157"/>
      <c r="K332" s="157"/>
      <c r="L332" s="158"/>
      <c r="M332" s="184" t="s">
        <v>11</v>
      </c>
      <c r="N332" s="184" t="s">
        <v>12</v>
      </c>
      <c r="O332" s="184" t="s">
        <v>13</v>
      </c>
      <c r="P332" s="184" t="s">
        <v>4</v>
      </c>
      <c r="R332" s="190"/>
      <c r="S332" s="191"/>
      <c r="T332" s="192"/>
      <c r="U332" s="191"/>
      <c r="V332" s="192"/>
      <c r="W332" s="191"/>
      <c r="X332" s="192"/>
      <c r="Y332" s="191"/>
      <c r="Z332" s="192"/>
      <c r="AA332" s="191"/>
      <c r="AB332" s="191"/>
      <c r="AC332" s="193"/>
      <c r="AD332" s="194"/>
      <c r="AE332" s="195"/>
      <c r="AF332" s="196"/>
      <c r="AG332" s="197"/>
    </row>
    <row r="333" spans="1:34" ht="12.75" customHeight="1">
      <c r="R333" s="242"/>
      <c r="S333" s="244"/>
      <c r="T333" s="199"/>
      <c r="U333" s="244"/>
      <c r="V333" s="246"/>
      <c r="W333" s="244"/>
      <c r="X333" s="246"/>
      <c r="Y333" s="244"/>
      <c r="Z333" s="37"/>
      <c r="AA333" s="244"/>
      <c r="AB333" s="244"/>
      <c r="AC333" s="37"/>
      <c r="AD333" s="200"/>
      <c r="AE333" s="186"/>
      <c r="AF333" s="201"/>
      <c r="AG333" s="202"/>
      <c r="AH333" s="37"/>
    </row>
    <row r="334" spans="1:34" ht="12.75" customHeight="1">
      <c r="R334" s="243"/>
      <c r="S334" s="245"/>
      <c r="T334" s="199"/>
      <c r="U334" s="245"/>
      <c r="V334" s="247"/>
      <c r="W334" s="245"/>
      <c r="X334" s="247"/>
      <c r="Y334" s="245"/>
      <c r="Z334" s="37"/>
      <c r="AA334" s="245"/>
      <c r="AB334" s="245"/>
      <c r="AC334" s="37"/>
      <c r="AD334" s="200"/>
      <c r="AE334" s="186"/>
      <c r="AF334" s="187"/>
      <c r="AG334" s="188"/>
      <c r="AH334" s="37"/>
    </row>
    <row r="335" spans="1:34" ht="12.75" customHeight="1">
      <c r="R335" s="243"/>
      <c r="S335" s="245"/>
      <c r="T335" s="199"/>
      <c r="U335" s="245"/>
      <c r="V335" s="247"/>
      <c r="W335" s="245"/>
      <c r="X335" s="247"/>
      <c r="Y335" s="245"/>
      <c r="Z335" s="37"/>
      <c r="AA335" s="245"/>
      <c r="AB335" s="245"/>
      <c r="AC335" s="37"/>
      <c r="AD335" s="200"/>
      <c r="AE335" s="186"/>
      <c r="AF335" s="201"/>
      <c r="AG335" s="202"/>
      <c r="AH335" s="37"/>
    </row>
    <row r="336" spans="1:34" ht="12.75" customHeight="1">
      <c r="M336" s="9"/>
      <c r="N336" s="9"/>
      <c r="O336" s="9"/>
      <c r="P336" s="9"/>
      <c r="R336" s="243"/>
      <c r="S336" s="245"/>
      <c r="T336" s="199"/>
      <c r="U336" s="245"/>
      <c r="V336" s="247"/>
      <c r="W336" s="245"/>
      <c r="X336" s="247"/>
      <c r="Y336" s="245"/>
      <c r="Z336" s="37"/>
      <c r="AA336" s="245"/>
      <c r="AB336" s="245"/>
      <c r="AC336" s="37"/>
      <c r="AD336" s="200"/>
      <c r="AE336" s="186"/>
      <c r="AF336" s="187"/>
      <c r="AG336" s="188"/>
      <c r="AH336" s="37"/>
    </row>
    <row r="337" spans="13:34" ht="12.75" customHeight="1">
      <c r="R337" s="243"/>
      <c r="S337" s="245"/>
      <c r="T337" s="199"/>
      <c r="U337" s="245"/>
      <c r="V337" s="247"/>
      <c r="W337" s="245"/>
      <c r="X337" s="247"/>
      <c r="Y337" s="245"/>
      <c r="Z337" s="37"/>
      <c r="AA337" s="245"/>
      <c r="AB337" s="245"/>
      <c r="AC337" s="37"/>
      <c r="AD337" s="200"/>
      <c r="AE337" s="186"/>
      <c r="AF337" s="201"/>
      <c r="AG337" s="202"/>
      <c r="AH337" s="37"/>
    </row>
    <row r="338" spans="13:34" ht="12.75" customHeight="1">
      <c r="R338" s="243"/>
      <c r="S338" s="245"/>
      <c r="T338" s="199"/>
      <c r="U338" s="245"/>
      <c r="V338" s="247"/>
      <c r="W338" s="245"/>
      <c r="X338" s="247"/>
      <c r="Y338" s="245"/>
      <c r="Z338" s="37"/>
      <c r="AA338" s="245"/>
      <c r="AB338" s="245"/>
      <c r="AC338" s="37"/>
      <c r="AD338" s="200"/>
      <c r="AE338" s="186"/>
      <c r="AF338" s="187"/>
      <c r="AG338" s="188"/>
      <c r="AH338" s="37"/>
    </row>
    <row r="339" spans="13:34" ht="12.75" customHeight="1">
      <c r="M339" s="9"/>
      <c r="N339" s="9"/>
      <c r="O339" s="9"/>
      <c r="P339" s="9"/>
      <c r="R339" s="243"/>
      <c r="S339" s="37"/>
      <c r="T339" s="199"/>
      <c r="U339" s="245"/>
      <c r="V339" s="247"/>
      <c r="W339" s="245"/>
      <c r="X339" s="247"/>
      <c r="Y339" s="245"/>
      <c r="Z339" s="37"/>
      <c r="AA339" s="245"/>
      <c r="AB339" s="245"/>
      <c r="AC339" s="37"/>
      <c r="AD339" s="185"/>
      <c r="AE339" s="186"/>
      <c r="AF339" s="201"/>
      <c r="AG339" s="202"/>
      <c r="AH339" s="37"/>
    </row>
    <row r="340" spans="13:34" ht="12.75" customHeight="1">
      <c r="R340" s="243"/>
      <c r="S340" s="37"/>
      <c r="T340" s="199"/>
      <c r="U340" s="245"/>
      <c r="V340" s="247"/>
      <c r="W340" s="245"/>
      <c r="X340" s="247"/>
      <c r="Y340" s="245"/>
      <c r="Z340" s="37"/>
      <c r="AA340" s="245"/>
      <c r="AB340" s="245"/>
      <c r="AC340" s="37"/>
      <c r="AD340" s="185"/>
      <c r="AE340" s="186"/>
      <c r="AF340" s="187"/>
      <c r="AG340" s="188"/>
      <c r="AH340" s="37"/>
    </row>
    <row r="341" spans="13:34" ht="12.75" customHeight="1">
      <c r="R341" s="243"/>
      <c r="S341" s="37"/>
      <c r="T341" s="199"/>
      <c r="U341" s="37"/>
      <c r="V341" s="247"/>
      <c r="W341" s="37"/>
      <c r="X341" s="245"/>
      <c r="Y341" s="37"/>
      <c r="Z341" s="37"/>
      <c r="AA341" s="245"/>
      <c r="AB341" s="203"/>
      <c r="AC341" s="37"/>
      <c r="AD341" s="185"/>
      <c r="AE341" s="186"/>
      <c r="AF341" s="187"/>
      <c r="AG341" s="188"/>
      <c r="AH341" s="37"/>
    </row>
    <row r="342" spans="13:34" ht="12.75" customHeight="1">
      <c r="R342" s="243"/>
      <c r="S342" s="37"/>
      <c r="T342" s="199"/>
      <c r="U342" s="37"/>
      <c r="V342" s="247"/>
      <c r="W342" s="37"/>
      <c r="X342" s="245"/>
      <c r="Y342" s="37"/>
      <c r="Z342" s="37"/>
      <c r="AA342" s="245"/>
      <c r="AB342" s="203"/>
      <c r="AC342" s="37"/>
      <c r="AD342" s="185"/>
      <c r="AE342" s="186"/>
      <c r="AF342" s="187"/>
      <c r="AG342" s="188"/>
      <c r="AH342" s="37"/>
    </row>
    <row r="343" spans="13:34" ht="12.75" customHeight="1">
      <c r="R343" s="243"/>
      <c r="S343" s="37"/>
      <c r="T343" s="199"/>
      <c r="U343" s="37"/>
      <c r="V343" s="247"/>
      <c r="W343" s="37"/>
      <c r="X343" s="245"/>
      <c r="Y343" s="37"/>
      <c r="Z343" s="37"/>
      <c r="AA343" s="245"/>
      <c r="AB343" s="203"/>
      <c r="AC343" s="37"/>
      <c r="AD343" s="185"/>
      <c r="AE343" s="186"/>
      <c r="AF343" s="187"/>
      <c r="AG343" s="188"/>
      <c r="AH343" s="37"/>
    </row>
    <row r="344" spans="13:34" ht="12.75" customHeight="1">
      <c r="R344" s="243"/>
      <c r="S344" s="37"/>
      <c r="T344" s="199"/>
      <c r="U344" s="37"/>
      <c r="V344" s="247"/>
      <c r="W344" s="37"/>
      <c r="X344" s="245"/>
      <c r="Y344" s="37"/>
      <c r="Z344" s="37"/>
      <c r="AA344" s="245"/>
      <c r="AB344" s="203"/>
      <c r="AC344" s="37"/>
      <c r="AD344" s="185"/>
      <c r="AE344" s="186"/>
      <c r="AF344" s="187"/>
      <c r="AG344" s="188"/>
      <c r="AH344" s="37"/>
    </row>
    <row r="345" spans="13:34" ht="12.75" customHeight="1">
      <c r="M345" s="9"/>
      <c r="N345" s="9"/>
      <c r="O345" s="9"/>
      <c r="P345" s="9"/>
      <c r="R345" s="243"/>
      <c r="S345" s="37"/>
      <c r="T345" s="199"/>
      <c r="U345" s="37"/>
      <c r="V345" s="247"/>
      <c r="W345" s="37"/>
      <c r="X345" s="245"/>
      <c r="Y345" s="37"/>
      <c r="Z345" s="37"/>
      <c r="AA345" s="245"/>
      <c r="AB345" s="203"/>
      <c r="AC345" s="37"/>
      <c r="AD345" s="185"/>
      <c r="AE345" s="186"/>
      <c r="AF345" s="187"/>
      <c r="AG345" s="188"/>
      <c r="AH345" s="37"/>
    </row>
    <row r="346" spans="13:34" ht="12.75" customHeight="1">
      <c r="R346" s="243"/>
      <c r="S346" s="37"/>
      <c r="T346" s="199"/>
      <c r="U346" s="37"/>
      <c r="V346" s="247"/>
      <c r="W346" s="37"/>
      <c r="X346" s="245"/>
      <c r="Y346" s="37"/>
      <c r="Z346" s="37"/>
      <c r="AA346" s="245"/>
      <c r="AB346" s="203"/>
      <c r="AC346" s="37"/>
      <c r="AD346" s="185"/>
      <c r="AE346" s="186"/>
      <c r="AF346" s="187"/>
      <c r="AG346" s="188"/>
      <c r="AH346" s="37"/>
    </row>
    <row r="347" spans="13:34">
      <c r="R347" s="243"/>
      <c r="S347" s="37"/>
      <c r="T347" s="199"/>
      <c r="U347" s="37"/>
      <c r="V347" s="247"/>
      <c r="W347" s="37"/>
      <c r="X347" s="245"/>
      <c r="Y347" s="37"/>
      <c r="Z347" s="37"/>
      <c r="AA347" s="37"/>
      <c r="AB347" s="203"/>
      <c r="AC347" s="37"/>
      <c r="AD347" s="185"/>
      <c r="AE347" s="186"/>
      <c r="AF347" s="187"/>
      <c r="AG347" s="188"/>
      <c r="AH347" s="37"/>
    </row>
    <row r="348" spans="13:34">
      <c r="M348" s="9"/>
      <c r="N348" s="9"/>
      <c r="O348" s="9"/>
      <c r="P348" s="9"/>
      <c r="R348" s="243"/>
      <c r="S348" s="37"/>
      <c r="T348" s="199"/>
      <c r="U348" s="37"/>
      <c r="V348" s="247"/>
      <c r="W348" s="37"/>
      <c r="X348" s="245"/>
      <c r="Y348" s="37"/>
      <c r="Z348" s="37"/>
      <c r="AA348" s="37"/>
      <c r="AB348" s="203"/>
      <c r="AC348" s="37"/>
      <c r="AD348" s="185"/>
      <c r="AE348" s="186"/>
      <c r="AF348" s="187"/>
      <c r="AG348" s="188"/>
      <c r="AH348" s="37"/>
    </row>
    <row r="349" spans="13:34">
      <c r="R349" s="243"/>
      <c r="S349" s="37"/>
      <c r="T349" s="199"/>
      <c r="U349" s="37"/>
      <c r="V349" s="247"/>
      <c r="W349" s="37"/>
      <c r="X349" s="245"/>
      <c r="Y349" s="37"/>
      <c r="Z349" s="37"/>
      <c r="AA349" s="37"/>
      <c r="AB349" s="203"/>
      <c r="AC349" s="37"/>
      <c r="AD349" s="185"/>
      <c r="AE349" s="186"/>
      <c r="AF349" s="187"/>
      <c r="AG349" s="188"/>
      <c r="AH349" s="37"/>
    </row>
    <row r="350" spans="13:34">
      <c r="R350" s="243"/>
      <c r="S350" s="37"/>
      <c r="T350" s="199"/>
      <c r="U350" s="37"/>
      <c r="V350" s="247"/>
      <c r="W350" s="37"/>
      <c r="X350" s="245"/>
      <c r="Y350" s="37"/>
      <c r="Z350" s="37"/>
      <c r="AA350" s="37"/>
      <c r="AB350" s="203"/>
      <c r="AC350" s="37"/>
      <c r="AD350" s="185"/>
      <c r="AE350" s="186"/>
      <c r="AF350" s="187"/>
      <c r="AG350" s="188"/>
      <c r="AH350" s="37"/>
    </row>
    <row r="351" spans="13:34">
      <c r="M351" s="9"/>
      <c r="N351" s="9"/>
      <c r="O351" s="9"/>
      <c r="P351" s="9"/>
      <c r="R351" s="243"/>
      <c r="S351" s="37"/>
      <c r="T351" s="199"/>
      <c r="U351" s="37"/>
      <c r="V351" s="247"/>
      <c r="W351" s="37"/>
      <c r="X351" s="245"/>
      <c r="Y351" s="37"/>
      <c r="Z351" s="37"/>
      <c r="AA351" s="37"/>
      <c r="AB351" s="203"/>
      <c r="AC351" s="37"/>
      <c r="AD351" s="185"/>
      <c r="AE351" s="186"/>
      <c r="AF351" s="187"/>
      <c r="AG351" s="188"/>
      <c r="AH351" s="37"/>
    </row>
    <row r="352" spans="13:34">
      <c r="R352" s="243"/>
      <c r="S352" s="37"/>
      <c r="T352" s="199"/>
      <c r="U352" s="37"/>
      <c r="V352" s="247"/>
      <c r="W352" s="37"/>
      <c r="X352" s="245"/>
      <c r="Y352" s="37"/>
      <c r="Z352" s="37"/>
      <c r="AA352" s="37"/>
      <c r="AB352" s="203"/>
      <c r="AC352" s="37"/>
      <c r="AD352" s="185"/>
      <c r="AE352" s="186"/>
      <c r="AF352" s="187"/>
      <c r="AG352" s="188"/>
      <c r="AH352" s="37"/>
    </row>
    <row r="353" spans="13:34">
      <c r="R353" s="243"/>
      <c r="S353" s="37"/>
      <c r="T353" s="199"/>
      <c r="U353" s="37"/>
      <c r="V353" s="247"/>
      <c r="W353" s="37"/>
      <c r="X353" s="245"/>
      <c r="Y353" s="37"/>
      <c r="Z353" s="37"/>
      <c r="AA353" s="37"/>
      <c r="AB353" s="203"/>
      <c r="AC353" s="37"/>
      <c r="AD353" s="185"/>
      <c r="AE353" s="186"/>
      <c r="AF353" s="187"/>
      <c r="AG353" s="188"/>
      <c r="AH353" s="37"/>
    </row>
    <row r="354" spans="13:34">
      <c r="M354" s="9"/>
      <c r="N354" s="9"/>
      <c r="O354" s="9"/>
      <c r="P354" s="9"/>
      <c r="R354" s="243"/>
      <c r="S354" s="37"/>
      <c r="T354" s="199"/>
      <c r="U354" s="37"/>
      <c r="V354" s="247"/>
      <c r="W354" s="37"/>
      <c r="X354" s="245"/>
      <c r="Y354" s="37"/>
      <c r="Z354" s="37"/>
      <c r="AA354" s="37"/>
      <c r="AB354" s="203"/>
      <c r="AC354" s="204"/>
      <c r="AD354" s="185"/>
      <c r="AE354" s="186"/>
      <c r="AF354" s="187"/>
      <c r="AG354" s="188"/>
      <c r="AH354" s="37"/>
    </row>
    <row r="355" spans="13:34">
      <c r="R355" s="243"/>
      <c r="S355" s="37"/>
      <c r="T355" s="199"/>
      <c r="U355" s="37"/>
      <c r="V355" s="247"/>
      <c r="W355" s="37"/>
      <c r="X355" s="245"/>
      <c r="Y355" s="37"/>
      <c r="Z355" s="37"/>
      <c r="AA355" s="37"/>
      <c r="AB355" s="203"/>
      <c r="AC355" s="204"/>
      <c r="AD355" s="185"/>
      <c r="AE355" s="186"/>
      <c r="AF355" s="187"/>
      <c r="AG355" s="188"/>
      <c r="AH355" s="37"/>
    </row>
    <row r="356" spans="13:34">
      <c r="R356" s="243"/>
      <c r="S356" s="37"/>
      <c r="T356" s="199"/>
      <c r="U356" s="37"/>
      <c r="V356" s="247"/>
      <c r="W356" s="37"/>
      <c r="X356" s="245"/>
      <c r="Y356" s="37"/>
      <c r="Z356" s="37"/>
      <c r="AA356" s="37"/>
      <c r="AB356" s="203"/>
      <c r="AC356" s="204"/>
      <c r="AD356" s="185"/>
      <c r="AE356" s="186"/>
      <c r="AF356" s="187"/>
      <c r="AG356" s="188"/>
      <c r="AH356" s="37"/>
    </row>
    <row r="357" spans="13:34">
      <c r="M357" s="9"/>
      <c r="N357" s="9"/>
      <c r="O357" s="9"/>
      <c r="P357" s="9"/>
      <c r="R357" s="243"/>
      <c r="S357" s="37"/>
      <c r="T357" s="199"/>
      <c r="U357" s="37"/>
      <c r="V357" s="247"/>
      <c r="W357" s="37"/>
      <c r="X357" s="245"/>
      <c r="Y357" s="37"/>
      <c r="Z357" s="37"/>
      <c r="AA357" s="37"/>
      <c r="AB357" s="203"/>
      <c r="AC357" s="204"/>
      <c r="AD357" s="185"/>
      <c r="AE357" s="186"/>
      <c r="AF357" s="187"/>
      <c r="AG357" s="188"/>
      <c r="AH357" s="37"/>
    </row>
    <row r="358" spans="13:34">
      <c r="R358" s="243"/>
      <c r="S358" s="37"/>
      <c r="T358" s="199"/>
      <c r="U358" s="37"/>
      <c r="V358" s="247"/>
      <c r="W358" s="37"/>
      <c r="X358" s="245"/>
      <c r="Y358" s="37"/>
      <c r="Z358" s="37"/>
      <c r="AA358" s="37"/>
      <c r="AB358" s="203"/>
      <c r="AC358" s="204"/>
      <c r="AD358" s="185"/>
      <c r="AE358" s="186"/>
      <c r="AF358" s="187"/>
      <c r="AG358" s="188"/>
      <c r="AH358" s="37"/>
    </row>
    <row r="359" spans="13:34">
      <c r="R359" s="205"/>
      <c r="S359" s="37"/>
      <c r="T359" s="199"/>
      <c r="U359" s="37"/>
      <c r="V359" s="247"/>
      <c r="W359" s="37"/>
      <c r="X359" s="245"/>
      <c r="Y359" s="37"/>
      <c r="Z359" s="37"/>
      <c r="AA359" s="37"/>
      <c r="AB359" s="203"/>
      <c r="AC359" s="204"/>
      <c r="AD359" s="185"/>
      <c r="AE359" s="186"/>
      <c r="AF359" s="187"/>
      <c r="AG359" s="188"/>
      <c r="AH359" s="37"/>
    </row>
    <row r="360" spans="13:34">
      <c r="N360" s="9"/>
      <c r="O360" s="9"/>
      <c r="P360" s="9"/>
      <c r="Q360" s="9"/>
      <c r="R360" s="205"/>
      <c r="S360" s="37"/>
      <c r="T360" s="199"/>
      <c r="U360" s="37"/>
      <c r="V360" s="247"/>
      <c r="W360" s="37"/>
      <c r="X360" s="245"/>
      <c r="Y360" s="37"/>
      <c r="Z360" s="37"/>
      <c r="AA360" s="37"/>
      <c r="AB360" s="203"/>
      <c r="AC360" s="204"/>
      <c r="AD360" s="185"/>
      <c r="AE360" s="186"/>
      <c r="AF360" s="187"/>
      <c r="AG360" s="188"/>
      <c r="AH360" s="37"/>
    </row>
    <row r="361" spans="13:34">
      <c r="R361" s="205"/>
      <c r="S361" s="37"/>
      <c r="T361" s="199"/>
      <c r="U361" s="37"/>
      <c r="V361" s="247"/>
      <c r="W361" s="37"/>
      <c r="X361" s="245"/>
      <c r="Y361" s="37"/>
      <c r="Z361" s="37"/>
      <c r="AA361" s="37"/>
      <c r="AB361" s="203"/>
      <c r="AC361" s="204"/>
      <c r="AD361" s="185"/>
      <c r="AE361" s="186"/>
      <c r="AF361" s="187"/>
      <c r="AG361" s="188"/>
      <c r="AH361" s="37"/>
    </row>
    <row r="362" spans="13:34">
      <c r="R362" s="205"/>
      <c r="S362" s="37"/>
      <c r="T362" s="199"/>
      <c r="U362" s="37"/>
      <c r="V362" s="247"/>
      <c r="W362" s="37"/>
      <c r="X362" s="245"/>
      <c r="Y362" s="37"/>
      <c r="Z362" s="37"/>
      <c r="AA362" s="37"/>
      <c r="AB362" s="203"/>
      <c r="AC362" s="204"/>
      <c r="AD362" s="185"/>
      <c r="AE362" s="186"/>
      <c r="AF362" s="187"/>
      <c r="AG362" s="188"/>
      <c r="AH362" s="37"/>
    </row>
    <row r="363" spans="13:34">
      <c r="N363" s="9"/>
      <c r="O363" s="9"/>
      <c r="P363" s="9"/>
      <c r="Q363" s="9"/>
      <c r="R363" s="205"/>
      <c r="S363" s="37"/>
      <c r="T363" s="199"/>
      <c r="U363" s="37"/>
      <c r="V363" s="247"/>
      <c r="W363" s="37"/>
      <c r="X363" s="245"/>
      <c r="Y363" s="37"/>
      <c r="Z363" s="37"/>
      <c r="AA363" s="37"/>
      <c r="AB363" s="203"/>
      <c r="AC363" s="204"/>
      <c r="AD363" s="185"/>
      <c r="AE363" s="186"/>
      <c r="AF363" s="187"/>
      <c r="AG363" s="188"/>
      <c r="AH363" s="37"/>
    </row>
    <row r="364" spans="13:34">
      <c r="R364" s="205"/>
      <c r="S364" s="37"/>
      <c r="T364" s="199"/>
      <c r="U364" s="37"/>
      <c r="V364" s="247"/>
      <c r="W364" s="37"/>
      <c r="X364" s="245"/>
      <c r="Y364" s="37"/>
      <c r="Z364" s="37"/>
      <c r="AA364" s="37"/>
      <c r="AB364" s="203"/>
      <c r="AC364" s="204"/>
      <c r="AD364" s="185"/>
      <c r="AE364" s="186"/>
      <c r="AF364" s="187"/>
      <c r="AG364" s="188"/>
      <c r="AH364" s="37"/>
    </row>
    <row r="365" spans="13:34">
      <c r="R365" s="205"/>
      <c r="S365" s="37"/>
      <c r="T365" s="199"/>
      <c r="U365" s="37"/>
      <c r="V365" s="247"/>
      <c r="W365" s="37"/>
      <c r="X365" s="37"/>
      <c r="Y365" s="37"/>
      <c r="Z365" s="37"/>
      <c r="AA365" s="37"/>
      <c r="AB365" s="203"/>
      <c r="AC365" s="204"/>
      <c r="AD365" s="185"/>
      <c r="AE365" s="186"/>
      <c r="AF365" s="187"/>
      <c r="AG365" s="188"/>
      <c r="AH365" s="37"/>
    </row>
    <row r="366" spans="13:34">
      <c r="R366" s="205"/>
      <c r="S366" s="37"/>
      <c r="T366" s="199"/>
      <c r="U366" s="37"/>
      <c r="V366" s="247"/>
      <c r="W366" s="37"/>
      <c r="X366" s="37"/>
      <c r="Y366" s="37"/>
      <c r="Z366" s="37"/>
      <c r="AA366" s="37"/>
      <c r="AB366" s="203"/>
      <c r="AC366" s="204"/>
      <c r="AD366" s="185"/>
      <c r="AE366" s="186"/>
      <c r="AF366" s="187"/>
      <c r="AG366" s="188"/>
      <c r="AH366" s="37"/>
    </row>
    <row r="367" spans="13:34">
      <c r="R367" s="205"/>
      <c r="S367" s="37"/>
      <c r="T367" s="199"/>
      <c r="U367" s="37"/>
      <c r="V367" s="247"/>
      <c r="W367" s="37"/>
      <c r="X367" s="37"/>
      <c r="Y367" s="37"/>
      <c r="Z367" s="37"/>
      <c r="AA367" s="37"/>
      <c r="AB367" s="203"/>
      <c r="AC367" s="204"/>
      <c r="AD367" s="185"/>
      <c r="AE367" s="186"/>
      <c r="AF367" s="187"/>
      <c r="AG367" s="188"/>
      <c r="AH367" s="37"/>
    </row>
    <row r="368" spans="13:34">
      <c r="R368" s="205"/>
      <c r="S368" s="37"/>
      <c r="T368" s="199"/>
      <c r="U368" s="37"/>
      <c r="V368" s="247"/>
      <c r="W368" s="37"/>
      <c r="X368" s="37"/>
      <c r="Y368" s="37"/>
      <c r="Z368" s="37"/>
      <c r="AA368" s="37"/>
      <c r="AB368" s="203"/>
      <c r="AC368" s="204"/>
      <c r="AD368" s="185"/>
      <c r="AE368" s="186"/>
      <c r="AF368" s="187"/>
      <c r="AG368" s="188"/>
      <c r="AH368" s="37"/>
    </row>
    <row r="369" spans="18:34">
      <c r="R369" s="205"/>
      <c r="S369" s="37"/>
      <c r="T369" s="199"/>
      <c r="U369" s="37"/>
      <c r="V369" s="247"/>
      <c r="W369" s="37"/>
      <c r="X369" s="37"/>
      <c r="Y369" s="37"/>
      <c r="Z369" s="37"/>
      <c r="AA369" s="37"/>
      <c r="AB369" s="203"/>
      <c r="AC369" s="204"/>
      <c r="AD369" s="185"/>
      <c r="AE369" s="186"/>
      <c r="AF369" s="187"/>
      <c r="AG369" s="188"/>
      <c r="AH369" s="37"/>
    </row>
    <row r="370" spans="18:34">
      <c r="R370" s="205"/>
      <c r="S370" s="37"/>
      <c r="T370" s="199"/>
      <c r="U370" s="37"/>
      <c r="V370" s="247"/>
      <c r="W370" s="37"/>
      <c r="X370" s="37"/>
      <c r="Y370" s="37"/>
      <c r="Z370" s="37"/>
      <c r="AA370" s="37"/>
      <c r="AB370" s="203"/>
      <c r="AC370" s="204"/>
      <c r="AD370" s="185"/>
      <c r="AE370" s="186"/>
      <c r="AF370" s="187"/>
      <c r="AG370" s="188"/>
      <c r="AH370" s="37"/>
    </row>
    <row r="371" spans="18:34">
      <c r="R371" s="205"/>
      <c r="S371" s="37"/>
      <c r="T371" s="199"/>
      <c r="U371" s="37"/>
      <c r="V371" s="37"/>
      <c r="W371" s="37"/>
      <c r="X371" s="37"/>
      <c r="Y371" s="37"/>
      <c r="Z371" s="37"/>
      <c r="AA371" s="37"/>
      <c r="AB371" s="203"/>
      <c r="AC371" s="204"/>
      <c r="AD371" s="185"/>
      <c r="AE371" s="186"/>
      <c r="AF371" s="187"/>
      <c r="AG371" s="188"/>
      <c r="AH371" s="37"/>
    </row>
    <row r="372" spans="18:34">
      <c r="R372" s="205"/>
      <c r="S372" s="37"/>
      <c r="T372" s="199"/>
      <c r="U372" s="37"/>
      <c r="V372" s="37"/>
      <c r="W372" s="37"/>
      <c r="X372" s="37"/>
      <c r="Y372" s="37"/>
      <c r="Z372" s="37"/>
      <c r="AA372" s="37"/>
      <c r="AB372" s="203"/>
      <c r="AC372" s="204"/>
      <c r="AD372" s="185"/>
      <c r="AE372" s="186"/>
      <c r="AF372" s="187"/>
      <c r="AG372" s="188"/>
      <c r="AH372" s="37"/>
    </row>
    <row r="373" spans="18:34">
      <c r="R373" s="205"/>
      <c r="S373" s="37"/>
      <c r="T373" s="199"/>
      <c r="U373" s="37"/>
      <c r="V373" s="37"/>
      <c r="W373" s="37"/>
      <c r="X373" s="37"/>
      <c r="Y373" s="37"/>
      <c r="Z373" s="37"/>
      <c r="AA373" s="37"/>
      <c r="AB373" s="203"/>
      <c r="AC373" s="204"/>
      <c r="AD373" s="185"/>
      <c r="AE373" s="186"/>
      <c r="AF373" s="187"/>
      <c r="AG373" s="188"/>
      <c r="AH373" s="37"/>
    </row>
    <row r="374" spans="18:34">
      <c r="R374" s="205"/>
      <c r="S374" s="37"/>
      <c r="T374" s="199"/>
      <c r="U374" s="37"/>
      <c r="V374" s="37"/>
      <c r="W374" s="37"/>
      <c r="X374" s="37"/>
      <c r="Y374" s="37"/>
      <c r="Z374" s="37"/>
      <c r="AA374" s="37"/>
      <c r="AB374" s="203"/>
      <c r="AC374" s="204"/>
      <c r="AD374" s="185"/>
      <c r="AE374" s="186"/>
      <c r="AF374" s="187"/>
      <c r="AG374" s="188"/>
      <c r="AH374" s="37"/>
    </row>
    <row r="375" spans="18:34">
      <c r="R375" s="205"/>
      <c r="S375" s="37"/>
      <c r="T375" s="199"/>
      <c r="U375" s="37"/>
      <c r="V375" s="37"/>
      <c r="W375" s="37"/>
      <c r="X375" s="37"/>
      <c r="Y375" s="37"/>
      <c r="Z375" s="37"/>
      <c r="AA375" s="37"/>
      <c r="AB375" s="203"/>
      <c r="AC375" s="204"/>
      <c r="AD375" s="185"/>
      <c r="AE375" s="186"/>
      <c r="AF375" s="187"/>
      <c r="AG375" s="188"/>
      <c r="AH375" s="37"/>
    </row>
    <row r="376" spans="18:34">
      <c r="R376" s="205"/>
      <c r="S376" s="37"/>
      <c r="T376" s="199"/>
      <c r="U376" s="37"/>
      <c r="V376" s="37"/>
      <c r="W376" s="37"/>
      <c r="X376" s="37"/>
      <c r="Y376" s="37"/>
      <c r="Z376" s="37"/>
      <c r="AA376" s="37"/>
      <c r="AB376" s="203"/>
      <c r="AC376" s="204"/>
      <c r="AD376" s="185"/>
      <c r="AE376" s="186"/>
      <c r="AF376" s="187"/>
      <c r="AG376" s="188"/>
      <c r="AH376" s="37"/>
    </row>
    <row r="377" spans="18:34">
      <c r="R377" s="205"/>
      <c r="S377" s="37"/>
      <c r="T377" s="199"/>
      <c r="U377" s="37"/>
      <c r="V377" s="37"/>
      <c r="W377" s="37"/>
      <c r="X377" s="37"/>
      <c r="Y377" s="37"/>
      <c r="Z377" s="37"/>
      <c r="AA377" s="37"/>
      <c r="AB377" s="203"/>
      <c r="AC377" s="204"/>
      <c r="AD377" s="185"/>
      <c r="AE377" s="186"/>
      <c r="AF377" s="187"/>
      <c r="AG377" s="188"/>
      <c r="AH377" s="37"/>
    </row>
    <row r="378" spans="18:34">
      <c r="R378" s="205"/>
      <c r="S378" s="37"/>
      <c r="T378" s="199"/>
      <c r="U378" s="37"/>
      <c r="V378" s="37"/>
      <c r="W378" s="37"/>
      <c r="X378" s="37"/>
      <c r="Y378" s="37"/>
      <c r="Z378" s="37"/>
      <c r="AA378" s="37"/>
      <c r="AB378" s="203"/>
      <c r="AC378" s="204"/>
      <c r="AD378" s="185"/>
      <c r="AE378" s="186"/>
      <c r="AF378" s="187"/>
      <c r="AG378" s="188"/>
      <c r="AH378" s="37"/>
    </row>
    <row r="379" spans="18:34">
      <c r="R379" s="205"/>
      <c r="S379" s="37"/>
      <c r="T379" s="199"/>
      <c r="U379" s="37"/>
      <c r="V379" s="37"/>
      <c r="W379" s="37"/>
      <c r="X379" s="37"/>
      <c r="Y379" s="37"/>
      <c r="Z379" s="37"/>
      <c r="AA379" s="37"/>
      <c r="AB379" s="203"/>
      <c r="AC379" s="204"/>
      <c r="AD379" s="185"/>
      <c r="AE379" s="186"/>
      <c r="AF379" s="187"/>
      <c r="AG379" s="188"/>
      <c r="AH379" s="37"/>
    </row>
    <row r="380" spans="18:34">
      <c r="R380" s="205"/>
      <c r="S380" s="37"/>
      <c r="T380" s="199"/>
      <c r="U380" s="37"/>
      <c r="V380" s="37"/>
      <c r="W380" s="37"/>
      <c r="X380" s="37"/>
      <c r="Y380" s="37"/>
      <c r="Z380" s="37"/>
      <c r="AA380" s="37"/>
      <c r="AB380" s="203"/>
      <c r="AC380" s="204"/>
      <c r="AD380" s="185"/>
      <c r="AE380" s="186"/>
      <c r="AF380" s="187"/>
      <c r="AG380" s="188"/>
      <c r="AH380" s="37"/>
    </row>
    <row r="381" spans="18:34">
      <c r="R381" s="205"/>
      <c r="S381" s="37"/>
      <c r="T381" s="199"/>
      <c r="U381" s="37"/>
      <c r="V381" s="37"/>
      <c r="W381" s="37"/>
      <c r="X381" s="37"/>
      <c r="Y381" s="37"/>
      <c r="Z381" s="37"/>
      <c r="AA381" s="37"/>
      <c r="AB381" s="203"/>
      <c r="AC381" s="204"/>
      <c r="AD381" s="185"/>
      <c r="AE381" s="186"/>
      <c r="AF381" s="187"/>
      <c r="AG381" s="188"/>
      <c r="AH381" s="37"/>
    </row>
    <row r="382" spans="18:34">
      <c r="R382" s="205"/>
      <c r="S382" s="37"/>
      <c r="T382" s="199"/>
      <c r="U382" s="37"/>
      <c r="V382" s="37"/>
      <c r="W382" s="37"/>
      <c r="X382" s="37"/>
      <c r="Y382" s="37"/>
      <c r="Z382" s="37"/>
      <c r="AA382" s="37"/>
      <c r="AB382" s="203"/>
      <c r="AC382" s="204"/>
      <c r="AD382" s="185"/>
      <c r="AE382" s="186"/>
      <c r="AF382" s="187"/>
      <c r="AG382" s="188"/>
      <c r="AH382" s="37"/>
    </row>
    <row r="383" spans="18:34">
      <c r="R383" s="205"/>
      <c r="S383" s="37"/>
      <c r="T383" s="199"/>
      <c r="U383" s="37"/>
      <c r="V383" s="37"/>
      <c r="W383" s="37"/>
      <c r="X383" s="37"/>
      <c r="Y383" s="37"/>
      <c r="Z383" s="37"/>
      <c r="AA383" s="37"/>
      <c r="AB383" s="203"/>
      <c r="AC383" s="204"/>
      <c r="AD383" s="185"/>
      <c r="AE383" s="186"/>
      <c r="AF383" s="187"/>
      <c r="AG383" s="188"/>
      <c r="AH383" s="37"/>
    </row>
    <row r="384" spans="18:34">
      <c r="R384" s="205"/>
      <c r="S384" s="37"/>
      <c r="T384" s="199"/>
      <c r="U384" s="37"/>
      <c r="V384" s="37"/>
      <c r="W384" s="37"/>
      <c r="X384" s="37"/>
      <c r="Y384" s="37"/>
      <c r="Z384" s="37"/>
      <c r="AA384" s="37"/>
      <c r="AB384" s="203"/>
      <c r="AC384" s="204"/>
      <c r="AD384" s="185"/>
      <c r="AE384" s="186"/>
      <c r="AF384" s="187"/>
      <c r="AG384" s="188"/>
      <c r="AH384" s="37"/>
    </row>
    <row r="385" spans="18:34">
      <c r="R385" s="205"/>
      <c r="S385" s="37"/>
      <c r="T385" s="199"/>
      <c r="U385" s="37"/>
      <c r="V385" s="37"/>
      <c r="W385" s="37"/>
      <c r="X385" s="37"/>
      <c r="Y385" s="37"/>
      <c r="Z385" s="37"/>
      <c r="AA385" s="37"/>
      <c r="AB385" s="203"/>
      <c r="AC385" s="204"/>
      <c r="AD385" s="185"/>
      <c r="AE385" s="186"/>
      <c r="AF385" s="187"/>
      <c r="AG385" s="188"/>
      <c r="AH385" s="37"/>
    </row>
    <row r="386" spans="18:34">
      <c r="R386" s="205"/>
      <c r="S386" s="37"/>
      <c r="T386" s="199"/>
      <c r="U386" s="37"/>
      <c r="V386" s="37"/>
      <c r="W386" s="37"/>
      <c r="X386" s="37"/>
      <c r="Y386" s="37"/>
      <c r="Z386" s="37"/>
      <c r="AA386" s="37"/>
      <c r="AB386" s="203"/>
      <c r="AC386" s="204"/>
      <c r="AD386" s="185"/>
      <c r="AE386" s="186"/>
      <c r="AF386" s="187"/>
      <c r="AG386" s="188"/>
      <c r="AH386" s="37"/>
    </row>
    <row r="387" spans="18:34">
      <c r="R387" s="205"/>
      <c r="S387" s="37"/>
      <c r="T387" s="199"/>
      <c r="U387" s="37"/>
      <c r="V387" s="37"/>
      <c r="W387" s="37"/>
      <c r="X387" s="37"/>
      <c r="Y387" s="37"/>
      <c r="Z387" s="37"/>
      <c r="AA387" s="37"/>
      <c r="AB387" s="203"/>
      <c r="AC387" s="204"/>
      <c r="AD387" s="185"/>
      <c r="AE387" s="186"/>
      <c r="AF387" s="187"/>
      <c r="AG387" s="188"/>
      <c r="AH387" s="37"/>
    </row>
    <row r="388" spans="18:34">
      <c r="R388" s="205"/>
      <c r="S388" s="37"/>
      <c r="T388" s="199"/>
      <c r="U388" s="37"/>
      <c r="V388" s="37"/>
      <c r="W388" s="37"/>
      <c r="X388" s="37"/>
      <c r="Y388" s="37"/>
      <c r="Z388" s="37"/>
      <c r="AA388" s="37"/>
      <c r="AB388" s="203"/>
      <c r="AC388" s="204"/>
      <c r="AD388" s="185"/>
      <c r="AE388" s="186"/>
      <c r="AF388" s="187"/>
      <c r="AG388" s="188"/>
      <c r="AH388" s="37"/>
    </row>
    <row r="389" spans="18:34">
      <c r="R389" s="205"/>
      <c r="S389" s="37"/>
      <c r="T389" s="199"/>
      <c r="U389" s="37"/>
      <c r="V389" s="37"/>
      <c r="W389" s="37"/>
      <c r="X389" s="37"/>
      <c r="Y389" s="37"/>
      <c r="Z389" s="37"/>
      <c r="AA389" s="37"/>
      <c r="AB389" s="203"/>
      <c r="AC389" s="204"/>
      <c r="AD389" s="185"/>
      <c r="AE389" s="186"/>
      <c r="AF389" s="187"/>
      <c r="AG389" s="188"/>
      <c r="AH389" s="37"/>
    </row>
    <row r="390" spans="18:34">
      <c r="R390" s="205"/>
      <c r="S390" s="37"/>
      <c r="T390" s="199"/>
      <c r="U390" s="37"/>
      <c r="V390" s="37"/>
      <c r="W390" s="37"/>
      <c r="X390" s="37"/>
      <c r="Y390" s="37"/>
      <c r="Z390" s="37"/>
      <c r="AA390" s="37"/>
      <c r="AB390" s="203"/>
      <c r="AC390" s="204"/>
      <c r="AD390" s="185"/>
      <c r="AE390" s="186"/>
      <c r="AF390" s="187"/>
      <c r="AG390" s="188"/>
      <c r="AH390" s="37"/>
    </row>
    <row r="391" spans="18:34">
      <c r="R391" s="205"/>
      <c r="S391" s="37"/>
      <c r="T391" s="199"/>
      <c r="U391" s="37"/>
      <c r="V391" s="37"/>
      <c r="W391" s="37"/>
      <c r="X391" s="37"/>
      <c r="Y391" s="37"/>
      <c r="Z391" s="37"/>
      <c r="AA391" s="37"/>
      <c r="AB391" s="203"/>
      <c r="AC391" s="204"/>
      <c r="AD391" s="185"/>
      <c r="AE391" s="186"/>
      <c r="AF391" s="187"/>
      <c r="AG391" s="188"/>
      <c r="AH391" s="37"/>
    </row>
    <row r="392" spans="18:34">
      <c r="R392" s="205"/>
      <c r="S392" s="37"/>
      <c r="T392" s="199"/>
      <c r="U392" s="37"/>
      <c r="V392" s="37"/>
      <c r="W392" s="37"/>
      <c r="X392" s="37"/>
      <c r="Y392" s="37"/>
      <c r="Z392" s="37"/>
      <c r="AA392" s="37"/>
      <c r="AB392" s="203"/>
      <c r="AC392" s="204"/>
      <c r="AD392" s="185"/>
      <c r="AE392" s="186"/>
      <c r="AF392" s="187"/>
      <c r="AG392" s="188"/>
      <c r="AH392" s="37"/>
    </row>
    <row r="393" spans="18:34">
      <c r="R393" s="205"/>
      <c r="S393" s="37"/>
      <c r="T393" s="199"/>
      <c r="U393" s="37"/>
      <c r="V393" s="37"/>
      <c r="W393" s="37"/>
      <c r="X393" s="37"/>
      <c r="Y393" s="37"/>
      <c r="Z393" s="37"/>
      <c r="AA393" s="37"/>
      <c r="AB393" s="203"/>
      <c r="AC393" s="204"/>
      <c r="AD393" s="185"/>
      <c r="AE393" s="186"/>
      <c r="AF393" s="187"/>
      <c r="AG393" s="188"/>
      <c r="AH393" s="37"/>
    </row>
    <row r="394" spans="18:34">
      <c r="R394" s="205"/>
      <c r="S394" s="37"/>
      <c r="T394" s="199"/>
      <c r="U394" s="37"/>
      <c r="V394" s="37"/>
      <c r="W394" s="37"/>
      <c r="X394" s="37"/>
      <c r="Y394" s="37"/>
      <c r="Z394" s="37"/>
      <c r="AA394" s="37"/>
      <c r="AB394" s="203"/>
      <c r="AC394" s="204"/>
      <c r="AD394" s="185"/>
      <c r="AE394" s="186"/>
      <c r="AF394" s="187"/>
      <c r="AG394" s="188"/>
      <c r="AH394" s="37"/>
    </row>
    <row r="395" spans="18:34">
      <c r="R395" s="205"/>
      <c r="S395" s="37"/>
      <c r="T395" s="199"/>
      <c r="U395" s="37"/>
      <c r="V395" s="37"/>
      <c r="W395" s="37"/>
      <c r="X395" s="37"/>
      <c r="Y395" s="37"/>
      <c r="Z395" s="37"/>
      <c r="AA395" s="37"/>
      <c r="AB395" s="203"/>
      <c r="AC395" s="204"/>
      <c r="AD395" s="185"/>
      <c r="AE395" s="186"/>
      <c r="AF395" s="187"/>
      <c r="AG395" s="188"/>
      <c r="AH395" s="37"/>
    </row>
    <row r="396" spans="18:34">
      <c r="R396" s="205"/>
      <c r="S396" s="37"/>
      <c r="T396" s="199"/>
      <c r="U396" s="37"/>
      <c r="V396" s="37"/>
      <c r="W396" s="37"/>
      <c r="X396" s="37"/>
      <c r="Y396" s="37"/>
      <c r="Z396" s="37"/>
      <c r="AA396" s="37"/>
      <c r="AB396" s="203"/>
      <c r="AC396" s="204"/>
      <c r="AD396" s="185"/>
      <c r="AE396" s="186"/>
      <c r="AF396" s="187"/>
      <c r="AG396" s="188"/>
      <c r="AH396" s="37"/>
    </row>
    <row r="397" spans="18:34">
      <c r="R397" s="205"/>
      <c r="S397" s="37"/>
      <c r="T397" s="199"/>
      <c r="U397" s="37"/>
      <c r="V397" s="37"/>
      <c r="W397" s="37"/>
      <c r="X397" s="37"/>
      <c r="Y397" s="37"/>
      <c r="Z397" s="37"/>
      <c r="AA397" s="37"/>
      <c r="AB397" s="203"/>
      <c r="AC397" s="204"/>
      <c r="AD397" s="185"/>
      <c r="AE397" s="186"/>
      <c r="AF397" s="187"/>
      <c r="AG397" s="188"/>
      <c r="AH397" s="37"/>
    </row>
    <row r="398" spans="18:34">
      <c r="R398" s="205"/>
      <c r="S398" s="37"/>
      <c r="T398" s="199"/>
      <c r="U398" s="37"/>
      <c r="V398" s="37"/>
      <c r="W398" s="37"/>
      <c r="X398" s="37"/>
      <c r="Y398" s="37"/>
      <c r="Z398" s="37"/>
      <c r="AA398" s="37"/>
      <c r="AB398" s="203"/>
      <c r="AC398" s="204"/>
      <c r="AD398" s="185"/>
      <c r="AE398" s="186"/>
      <c r="AF398" s="187"/>
      <c r="AG398" s="188"/>
      <c r="AH398" s="37"/>
    </row>
    <row r="399" spans="18:34">
      <c r="R399" s="205"/>
      <c r="S399" s="37"/>
      <c r="T399" s="199"/>
      <c r="U399" s="37"/>
      <c r="V399" s="37"/>
      <c r="W399" s="37"/>
      <c r="X399" s="37"/>
      <c r="Y399" s="37"/>
      <c r="Z399" s="37"/>
      <c r="AA399" s="37"/>
      <c r="AB399" s="203"/>
      <c r="AC399" s="204"/>
      <c r="AD399" s="185"/>
      <c r="AE399" s="186"/>
      <c r="AF399" s="187"/>
      <c r="AG399" s="188"/>
      <c r="AH399" s="37"/>
    </row>
    <row r="400" spans="18:34">
      <c r="R400" s="205"/>
      <c r="S400" s="37"/>
      <c r="T400" s="199"/>
      <c r="U400" s="37"/>
      <c r="V400" s="37"/>
      <c r="W400" s="37"/>
      <c r="X400" s="37"/>
      <c r="Y400" s="37"/>
      <c r="Z400" s="37"/>
      <c r="AA400" s="37"/>
      <c r="AB400" s="203"/>
      <c r="AC400" s="204"/>
      <c r="AD400" s="185"/>
      <c r="AE400" s="186"/>
      <c r="AF400" s="187"/>
      <c r="AG400" s="188"/>
      <c r="AH400" s="37"/>
    </row>
    <row r="401" spans="18:34">
      <c r="R401" s="205"/>
      <c r="S401" s="37"/>
      <c r="T401" s="199"/>
      <c r="U401" s="37"/>
      <c r="V401" s="37"/>
      <c r="W401" s="37"/>
      <c r="X401" s="37"/>
      <c r="Y401" s="37"/>
      <c r="Z401" s="37"/>
      <c r="AA401" s="37"/>
      <c r="AB401" s="203"/>
      <c r="AC401" s="204"/>
      <c r="AD401" s="185"/>
      <c r="AE401" s="186"/>
      <c r="AF401" s="187"/>
      <c r="AG401" s="188"/>
      <c r="AH401" s="37"/>
    </row>
    <row r="402" spans="18:34">
      <c r="R402" s="205"/>
      <c r="S402" s="37"/>
      <c r="T402" s="199"/>
      <c r="U402" s="37"/>
      <c r="V402" s="37"/>
      <c r="W402" s="37"/>
      <c r="X402" s="37"/>
      <c r="Y402" s="37"/>
      <c r="Z402" s="37"/>
      <c r="AA402" s="37"/>
      <c r="AB402" s="203"/>
      <c r="AC402" s="204"/>
      <c r="AD402" s="185"/>
      <c r="AE402" s="186"/>
      <c r="AF402" s="187"/>
      <c r="AG402" s="188"/>
      <c r="AH402" s="37"/>
    </row>
    <row r="403" spans="18:34">
      <c r="R403" s="205"/>
      <c r="S403" s="37"/>
      <c r="T403" s="199"/>
      <c r="U403" s="37"/>
      <c r="V403" s="37"/>
      <c r="W403" s="37"/>
      <c r="X403" s="37"/>
      <c r="Y403" s="37"/>
      <c r="Z403" s="37"/>
      <c r="AA403" s="37"/>
      <c r="AB403" s="203"/>
      <c r="AC403" s="204"/>
      <c r="AD403" s="185"/>
      <c r="AE403" s="186"/>
      <c r="AF403" s="187"/>
      <c r="AG403" s="188"/>
      <c r="AH403" s="37"/>
    </row>
    <row r="404" spans="18:34">
      <c r="R404" s="205"/>
      <c r="S404" s="37"/>
      <c r="T404" s="199"/>
      <c r="U404" s="37"/>
      <c r="V404" s="37"/>
      <c r="W404" s="37"/>
      <c r="X404" s="37"/>
      <c r="Y404" s="37"/>
      <c r="Z404" s="37"/>
      <c r="AA404" s="37"/>
      <c r="AB404" s="203"/>
      <c r="AC404" s="204"/>
      <c r="AD404" s="185"/>
      <c r="AE404" s="186"/>
      <c r="AF404" s="187"/>
      <c r="AG404" s="188"/>
      <c r="AH404" s="37"/>
    </row>
    <row r="405" spans="18:34">
      <c r="R405" s="205"/>
      <c r="S405" s="37"/>
      <c r="T405" s="199"/>
      <c r="U405" s="37"/>
      <c r="V405" s="37"/>
      <c r="W405" s="37"/>
      <c r="X405" s="37"/>
      <c r="Y405" s="37"/>
      <c r="Z405" s="37"/>
      <c r="AA405" s="37"/>
      <c r="AB405" s="203"/>
      <c r="AC405" s="204"/>
      <c r="AD405" s="185"/>
      <c r="AE405" s="186"/>
      <c r="AF405" s="187"/>
      <c r="AG405" s="188"/>
      <c r="AH405" s="37"/>
    </row>
    <row r="406" spans="18:34">
      <c r="R406" s="205"/>
      <c r="S406" s="37"/>
      <c r="T406" s="199"/>
      <c r="U406" s="37"/>
      <c r="V406" s="37"/>
      <c r="W406" s="37"/>
      <c r="X406" s="37"/>
      <c r="Y406" s="37"/>
      <c r="Z406" s="37"/>
      <c r="AA406" s="37"/>
      <c r="AB406" s="203"/>
      <c r="AC406" s="204"/>
      <c r="AD406" s="185"/>
      <c r="AE406" s="186"/>
      <c r="AF406" s="187"/>
      <c r="AG406" s="188"/>
      <c r="AH406" s="37"/>
    </row>
    <row r="407" spans="18:34">
      <c r="R407" s="205"/>
      <c r="S407" s="37"/>
      <c r="T407" s="199"/>
      <c r="U407" s="37"/>
      <c r="V407" s="37"/>
      <c r="W407" s="37"/>
      <c r="X407" s="37"/>
      <c r="Y407" s="37"/>
      <c r="Z407" s="37"/>
      <c r="AA407" s="37"/>
      <c r="AB407" s="203"/>
      <c r="AC407" s="204"/>
      <c r="AD407" s="185"/>
      <c r="AE407" s="186"/>
      <c r="AF407" s="187"/>
      <c r="AG407" s="188"/>
      <c r="AH407" s="37"/>
    </row>
    <row r="408" spans="18:34">
      <c r="R408" s="205"/>
      <c r="S408" s="37"/>
      <c r="T408" s="199"/>
      <c r="U408" s="37"/>
      <c r="V408" s="37"/>
      <c r="W408" s="37"/>
      <c r="X408" s="37"/>
      <c r="Y408" s="37"/>
      <c r="Z408" s="37"/>
      <c r="AA408" s="37"/>
      <c r="AB408" s="203"/>
      <c r="AC408" s="204"/>
      <c r="AD408" s="185"/>
      <c r="AE408" s="186"/>
      <c r="AF408" s="187"/>
      <c r="AG408" s="188"/>
      <c r="AH408" s="37"/>
    </row>
    <row r="409" spans="18:34">
      <c r="R409" s="205"/>
      <c r="S409" s="37"/>
      <c r="T409" s="199"/>
      <c r="U409" s="37"/>
      <c r="V409" s="37"/>
      <c r="W409" s="37"/>
      <c r="X409" s="37"/>
      <c r="Y409" s="37"/>
      <c r="Z409" s="37"/>
      <c r="AA409" s="37"/>
      <c r="AB409" s="203"/>
      <c r="AC409" s="204"/>
      <c r="AD409" s="185"/>
      <c r="AE409" s="186"/>
      <c r="AF409" s="187"/>
      <c r="AG409" s="188"/>
      <c r="AH409" s="37"/>
    </row>
    <row r="410" spans="18:34">
      <c r="R410" s="205"/>
      <c r="S410" s="37"/>
      <c r="T410" s="199"/>
      <c r="U410" s="37"/>
      <c r="V410" s="37"/>
      <c r="W410" s="37"/>
      <c r="X410" s="37"/>
      <c r="Y410" s="37"/>
      <c r="Z410" s="37"/>
      <c r="AA410" s="37"/>
      <c r="AB410" s="203"/>
      <c r="AC410" s="204"/>
      <c r="AD410" s="185"/>
      <c r="AE410" s="186"/>
      <c r="AF410" s="187"/>
      <c r="AG410" s="188"/>
      <c r="AH410" s="37"/>
    </row>
    <row r="411" spans="18:34">
      <c r="R411" s="205"/>
      <c r="S411" s="37"/>
      <c r="T411" s="199"/>
      <c r="U411" s="37"/>
      <c r="V411" s="37"/>
      <c r="W411" s="37"/>
      <c r="X411" s="37"/>
      <c r="Y411" s="37"/>
      <c r="Z411" s="37"/>
      <c r="AA411" s="37"/>
      <c r="AB411" s="203"/>
      <c r="AC411" s="204"/>
      <c r="AD411" s="185"/>
      <c r="AE411" s="186"/>
      <c r="AF411" s="187"/>
      <c r="AG411" s="188"/>
      <c r="AH411" s="37"/>
    </row>
    <row r="412" spans="18:34">
      <c r="R412" s="205"/>
      <c r="S412" s="37"/>
      <c r="T412" s="199"/>
      <c r="U412" s="37"/>
      <c r="V412" s="37"/>
      <c r="W412" s="37"/>
      <c r="X412" s="37"/>
      <c r="Y412" s="37"/>
      <c r="Z412" s="37"/>
      <c r="AA412" s="37"/>
      <c r="AB412" s="203"/>
      <c r="AC412" s="204"/>
      <c r="AD412" s="185"/>
      <c r="AE412" s="186"/>
      <c r="AF412" s="187"/>
      <c r="AG412" s="188"/>
      <c r="AH412" s="37"/>
    </row>
    <row r="413" spans="18:34">
      <c r="R413" s="205"/>
      <c r="S413" s="37"/>
      <c r="T413" s="199"/>
      <c r="U413" s="37"/>
      <c r="V413" s="37"/>
      <c r="W413" s="37"/>
      <c r="X413" s="37"/>
      <c r="Y413" s="37"/>
      <c r="Z413" s="37"/>
      <c r="AA413" s="37"/>
      <c r="AB413" s="203"/>
      <c r="AC413" s="204"/>
      <c r="AD413" s="185"/>
      <c r="AE413" s="186"/>
      <c r="AF413" s="187"/>
      <c r="AG413" s="188"/>
      <c r="AH413" s="37"/>
    </row>
    <row r="414" spans="18:34">
      <c r="R414" s="205"/>
      <c r="S414" s="37"/>
      <c r="T414" s="199"/>
      <c r="U414" s="37"/>
      <c r="V414" s="37"/>
      <c r="W414" s="37"/>
      <c r="X414" s="37"/>
      <c r="Y414" s="37"/>
      <c r="Z414" s="37"/>
      <c r="AA414" s="37"/>
      <c r="AB414" s="203"/>
      <c r="AC414" s="204"/>
      <c r="AD414" s="185"/>
      <c r="AE414" s="186"/>
      <c r="AF414" s="187"/>
      <c r="AG414" s="188"/>
      <c r="AH414" s="37"/>
    </row>
    <row r="415" spans="18:34">
      <c r="R415" s="205"/>
      <c r="S415" s="37"/>
      <c r="T415" s="199"/>
      <c r="U415" s="37"/>
      <c r="V415" s="37"/>
      <c r="W415" s="37"/>
      <c r="X415" s="37"/>
      <c r="Y415" s="37"/>
      <c r="Z415" s="37"/>
      <c r="AA415" s="37"/>
      <c r="AB415" s="203"/>
      <c r="AC415" s="204"/>
      <c r="AD415" s="185"/>
      <c r="AE415" s="186"/>
      <c r="AF415" s="187"/>
      <c r="AG415" s="188"/>
      <c r="AH415" s="37"/>
    </row>
    <row r="416" spans="18:34">
      <c r="R416" s="205"/>
      <c r="S416" s="37"/>
      <c r="T416" s="199"/>
      <c r="U416" s="37"/>
      <c r="V416" s="37"/>
      <c r="W416" s="37"/>
      <c r="X416" s="37"/>
      <c r="Y416" s="37"/>
      <c r="Z416" s="37"/>
      <c r="AA416" s="37"/>
      <c r="AB416" s="203"/>
      <c r="AC416" s="204"/>
      <c r="AD416" s="185"/>
      <c r="AE416" s="186"/>
      <c r="AF416" s="187"/>
      <c r="AG416" s="188"/>
      <c r="AH416" s="37"/>
    </row>
    <row r="417" spans="18:34">
      <c r="R417" s="205"/>
      <c r="S417" s="37"/>
      <c r="T417" s="199"/>
      <c r="U417" s="37"/>
      <c r="V417" s="37"/>
      <c r="W417" s="37"/>
      <c r="X417" s="37"/>
      <c r="Y417" s="37"/>
      <c r="Z417" s="37"/>
      <c r="AA417" s="37"/>
      <c r="AB417" s="203"/>
      <c r="AC417" s="204"/>
      <c r="AD417" s="185"/>
      <c r="AE417" s="186"/>
      <c r="AF417" s="187"/>
      <c r="AG417" s="188"/>
      <c r="AH417" s="37"/>
    </row>
    <row r="418" spans="18:34">
      <c r="R418" s="205"/>
      <c r="S418" s="37"/>
      <c r="T418" s="199"/>
      <c r="U418" s="37"/>
      <c r="V418" s="37"/>
      <c r="W418" s="37"/>
      <c r="X418" s="37"/>
      <c r="Y418" s="37"/>
      <c r="Z418" s="37"/>
      <c r="AA418" s="37"/>
      <c r="AB418" s="203"/>
      <c r="AC418" s="204"/>
      <c r="AD418" s="185"/>
      <c r="AE418" s="186"/>
      <c r="AF418" s="187"/>
      <c r="AG418" s="188"/>
      <c r="AH418" s="37"/>
    </row>
    <row r="419" spans="18:34">
      <c r="R419" s="205"/>
      <c r="S419" s="37"/>
      <c r="T419" s="199"/>
      <c r="U419" s="37"/>
      <c r="V419" s="37"/>
      <c r="W419" s="37"/>
      <c r="X419" s="37"/>
      <c r="Y419" s="37"/>
      <c r="Z419" s="37"/>
      <c r="AA419" s="37"/>
      <c r="AB419" s="203"/>
      <c r="AC419" s="204"/>
      <c r="AD419" s="185"/>
      <c r="AE419" s="186"/>
      <c r="AF419" s="187"/>
      <c r="AG419" s="188"/>
      <c r="AH419" s="37"/>
    </row>
    <row r="420" spans="18:34">
      <c r="R420" s="205"/>
      <c r="S420" s="37"/>
      <c r="T420" s="199"/>
      <c r="U420" s="37"/>
      <c r="V420" s="37"/>
      <c r="W420" s="37"/>
      <c r="X420" s="37"/>
      <c r="Y420" s="37"/>
      <c r="Z420" s="37"/>
      <c r="AA420" s="37"/>
      <c r="AB420" s="203"/>
      <c r="AC420" s="204"/>
      <c r="AD420" s="185"/>
      <c r="AE420" s="186"/>
      <c r="AF420" s="187"/>
      <c r="AG420" s="188"/>
      <c r="AH420" s="37"/>
    </row>
    <row r="421" spans="18:34">
      <c r="R421" s="205"/>
      <c r="S421" s="37"/>
      <c r="T421" s="199"/>
      <c r="U421" s="37"/>
      <c r="V421" s="37"/>
      <c r="W421" s="37"/>
      <c r="X421" s="37"/>
      <c r="Y421" s="37"/>
      <c r="Z421" s="37"/>
      <c r="AA421" s="37"/>
      <c r="AB421" s="203"/>
      <c r="AC421" s="204"/>
      <c r="AD421" s="185"/>
      <c r="AE421" s="186"/>
      <c r="AF421" s="187"/>
      <c r="AG421" s="188"/>
      <c r="AH421" s="37"/>
    </row>
    <row r="422" spans="18:34">
      <c r="R422" s="205"/>
      <c r="S422" s="37"/>
      <c r="T422" s="199"/>
      <c r="U422" s="37"/>
      <c r="V422" s="37"/>
      <c r="W422" s="37"/>
      <c r="X422" s="37"/>
      <c r="Y422" s="37"/>
      <c r="Z422" s="37"/>
      <c r="AA422" s="37"/>
      <c r="AB422" s="203"/>
      <c r="AC422" s="204"/>
      <c r="AD422" s="185"/>
      <c r="AE422" s="186"/>
      <c r="AF422" s="187"/>
      <c r="AG422" s="188"/>
      <c r="AH422" s="37"/>
    </row>
    <row r="423" spans="18:34">
      <c r="R423" s="205"/>
      <c r="S423" s="37"/>
      <c r="T423" s="199"/>
      <c r="U423" s="37"/>
      <c r="V423" s="37"/>
      <c r="W423" s="37"/>
      <c r="X423" s="37"/>
      <c r="Y423" s="37"/>
      <c r="Z423" s="37"/>
      <c r="AA423" s="37"/>
      <c r="AB423" s="203"/>
      <c r="AC423" s="204"/>
      <c r="AD423" s="185"/>
      <c r="AE423" s="186"/>
      <c r="AF423" s="187"/>
      <c r="AG423" s="188"/>
      <c r="AH423" s="37"/>
    </row>
    <row r="424" spans="18:34">
      <c r="R424" s="205"/>
      <c r="S424" s="37"/>
      <c r="T424" s="199"/>
      <c r="U424" s="37"/>
      <c r="V424" s="37"/>
      <c r="W424" s="37"/>
      <c r="X424" s="37"/>
      <c r="Y424" s="37"/>
      <c r="Z424" s="37"/>
      <c r="AA424" s="37"/>
      <c r="AB424" s="203"/>
      <c r="AC424" s="204"/>
      <c r="AD424" s="185"/>
      <c r="AE424" s="186"/>
      <c r="AF424" s="187"/>
      <c r="AG424" s="188"/>
      <c r="AH424" s="37"/>
    </row>
    <row r="425" spans="18:34">
      <c r="R425" s="205"/>
      <c r="S425" s="37"/>
      <c r="T425" s="199"/>
      <c r="U425" s="37"/>
      <c r="V425" s="37"/>
      <c r="W425" s="37"/>
      <c r="X425" s="37"/>
      <c r="Y425" s="37"/>
      <c r="Z425" s="37"/>
      <c r="AA425" s="37"/>
      <c r="AB425" s="203"/>
      <c r="AC425" s="204"/>
      <c r="AD425" s="185"/>
      <c r="AE425" s="186"/>
      <c r="AF425" s="187"/>
      <c r="AG425" s="188"/>
      <c r="AH425" s="37"/>
    </row>
    <row r="426" spans="18:34">
      <c r="R426" s="205"/>
      <c r="S426" s="37"/>
      <c r="T426" s="199"/>
      <c r="U426" s="37"/>
      <c r="V426" s="37"/>
      <c r="W426" s="37"/>
      <c r="X426" s="37"/>
      <c r="Y426" s="37"/>
      <c r="Z426" s="37"/>
      <c r="AA426" s="37"/>
      <c r="AB426" s="203"/>
      <c r="AC426" s="204"/>
      <c r="AD426" s="185"/>
      <c r="AE426" s="186"/>
      <c r="AF426" s="187"/>
      <c r="AG426" s="188"/>
      <c r="AH426" s="37"/>
    </row>
    <row r="427" spans="18:34">
      <c r="R427" s="205"/>
      <c r="S427" s="37"/>
      <c r="T427" s="199"/>
      <c r="U427" s="37"/>
      <c r="V427" s="37"/>
      <c r="W427" s="37"/>
      <c r="X427" s="37"/>
      <c r="Y427" s="37"/>
      <c r="Z427" s="37"/>
      <c r="AA427" s="37"/>
      <c r="AB427" s="203"/>
      <c r="AC427" s="204"/>
      <c r="AD427" s="185"/>
      <c r="AE427" s="186"/>
      <c r="AF427" s="187"/>
      <c r="AG427" s="188"/>
      <c r="AH427" s="37"/>
    </row>
    <row r="428" spans="18:34">
      <c r="R428" s="205"/>
      <c r="S428" s="37"/>
      <c r="T428" s="199"/>
      <c r="U428" s="37"/>
      <c r="V428" s="37"/>
      <c r="W428" s="37"/>
      <c r="X428" s="37"/>
      <c r="Y428" s="37"/>
      <c r="Z428" s="37"/>
      <c r="AA428" s="37"/>
      <c r="AB428" s="203"/>
      <c r="AC428" s="204"/>
      <c r="AD428" s="185"/>
      <c r="AE428" s="186"/>
      <c r="AF428" s="187"/>
      <c r="AG428" s="188"/>
      <c r="AH428" s="37"/>
    </row>
    <row r="429" spans="18:34">
      <c r="R429" s="205"/>
      <c r="S429" s="37"/>
      <c r="T429" s="199"/>
      <c r="U429" s="37"/>
      <c r="V429" s="37"/>
      <c r="W429" s="37"/>
      <c r="X429" s="37"/>
      <c r="Y429" s="37"/>
      <c r="Z429" s="37"/>
      <c r="AA429" s="37"/>
      <c r="AB429" s="203"/>
      <c r="AC429" s="204"/>
      <c r="AD429" s="185"/>
      <c r="AE429" s="186"/>
      <c r="AF429" s="187"/>
      <c r="AG429" s="188"/>
      <c r="AH429" s="37"/>
    </row>
    <row r="430" spans="18:34">
      <c r="R430" s="205"/>
      <c r="S430" s="37"/>
      <c r="T430" s="199"/>
      <c r="U430" s="37"/>
      <c r="V430" s="37"/>
      <c r="W430" s="37"/>
      <c r="X430" s="37"/>
      <c r="Y430" s="37"/>
      <c r="Z430" s="37"/>
      <c r="AA430" s="37"/>
      <c r="AB430" s="203"/>
      <c r="AC430" s="204"/>
      <c r="AD430" s="185"/>
      <c r="AE430" s="186"/>
      <c r="AF430" s="187"/>
      <c r="AG430" s="188"/>
      <c r="AH430" s="37"/>
    </row>
    <row r="431" spans="18:34">
      <c r="R431" s="205"/>
      <c r="S431" s="37"/>
      <c r="T431" s="199"/>
      <c r="U431" s="37"/>
      <c r="V431" s="37"/>
      <c r="W431" s="37"/>
      <c r="X431" s="37"/>
      <c r="Y431" s="37"/>
      <c r="Z431" s="37"/>
      <c r="AA431" s="37"/>
      <c r="AB431" s="203"/>
      <c r="AC431" s="204"/>
      <c r="AD431" s="185"/>
      <c r="AE431" s="186"/>
      <c r="AF431" s="187"/>
      <c r="AG431" s="188"/>
      <c r="AH431" s="37"/>
    </row>
    <row r="432" spans="18:34">
      <c r="R432" s="205"/>
      <c r="S432" s="37"/>
      <c r="T432" s="199"/>
      <c r="U432" s="37"/>
      <c r="V432" s="37"/>
      <c r="W432" s="37"/>
      <c r="X432" s="37"/>
      <c r="Y432" s="37"/>
      <c r="Z432" s="37"/>
      <c r="AA432" s="37"/>
      <c r="AB432" s="203"/>
      <c r="AC432" s="204"/>
      <c r="AD432" s="185"/>
      <c r="AE432" s="186"/>
      <c r="AF432" s="187"/>
      <c r="AG432" s="188"/>
      <c r="AH432" s="37"/>
    </row>
    <row r="433" spans="18:34">
      <c r="R433" s="205"/>
      <c r="S433" s="37"/>
      <c r="T433" s="199"/>
      <c r="U433" s="37"/>
      <c r="V433" s="37"/>
      <c r="W433" s="37"/>
      <c r="X433" s="37"/>
      <c r="Y433" s="37"/>
      <c r="Z433" s="37"/>
      <c r="AA433" s="37"/>
      <c r="AB433" s="203"/>
      <c r="AC433" s="204"/>
      <c r="AD433" s="185"/>
      <c r="AE433" s="186"/>
      <c r="AF433" s="187"/>
      <c r="AG433" s="188"/>
      <c r="AH433" s="37"/>
    </row>
    <row r="434" spans="18:34">
      <c r="R434" s="205"/>
      <c r="S434" s="37"/>
      <c r="T434" s="199"/>
      <c r="U434" s="37"/>
      <c r="V434" s="37"/>
      <c r="W434" s="37"/>
      <c r="X434" s="37"/>
      <c r="Y434" s="37"/>
      <c r="Z434" s="37"/>
      <c r="AA434" s="37"/>
      <c r="AB434" s="203"/>
      <c r="AC434" s="204"/>
      <c r="AD434" s="185"/>
      <c r="AE434" s="186"/>
      <c r="AF434" s="187"/>
      <c r="AG434" s="188"/>
      <c r="AH434" s="37"/>
    </row>
    <row r="435" spans="18:34">
      <c r="R435" s="205"/>
      <c r="S435" s="37"/>
      <c r="T435" s="199"/>
      <c r="U435" s="37"/>
      <c r="V435" s="37"/>
      <c r="W435" s="37"/>
      <c r="X435" s="37"/>
      <c r="Y435" s="37"/>
      <c r="Z435" s="37"/>
      <c r="AA435" s="37"/>
      <c r="AB435" s="203"/>
      <c r="AC435" s="204"/>
      <c r="AD435" s="185"/>
      <c r="AE435" s="186"/>
      <c r="AF435" s="187"/>
      <c r="AG435" s="188"/>
      <c r="AH435" s="37"/>
    </row>
    <row r="436" spans="18:34">
      <c r="R436" s="205"/>
      <c r="S436" s="37"/>
      <c r="T436" s="199"/>
      <c r="U436" s="37"/>
      <c r="V436" s="37"/>
      <c r="W436" s="37"/>
      <c r="X436" s="37"/>
      <c r="Y436" s="37"/>
      <c r="Z436" s="37"/>
      <c r="AA436" s="37"/>
      <c r="AB436" s="203"/>
      <c r="AC436" s="204"/>
      <c r="AD436" s="185"/>
      <c r="AE436" s="186"/>
      <c r="AF436" s="187"/>
      <c r="AG436" s="188"/>
      <c r="AH436" s="37"/>
    </row>
    <row r="437" spans="18:34">
      <c r="R437" s="205"/>
      <c r="S437" s="37"/>
      <c r="T437" s="199"/>
      <c r="U437" s="37"/>
      <c r="V437" s="37"/>
      <c r="W437" s="37"/>
      <c r="X437" s="37"/>
      <c r="Y437" s="37"/>
      <c r="Z437" s="37"/>
      <c r="AA437" s="37"/>
      <c r="AB437" s="203"/>
      <c r="AC437" s="204"/>
      <c r="AD437" s="185"/>
      <c r="AE437" s="186"/>
      <c r="AF437" s="187"/>
      <c r="AG437" s="188"/>
      <c r="AH437" s="37"/>
    </row>
    <row r="438" spans="18:34">
      <c r="R438" s="205"/>
      <c r="S438" s="37"/>
      <c r="T438" s="199"/>
      <c r="U438" s="37"/>
      <c r="V438" s="37"/>
      <c r="W438" s="37"/>
      <c r="X438" s="37"/>
      <c r="Y438" s="37"/>
      <c r="Z438" s="37"/>
      <c r="AA438" s="37"/>
      <c r="AB438" s="203"/>
      <c r="AC438" s="204"/>
      <c r="AD438" s="185"/>
      <c r="AE438" s="186"/>
      <c r="AF438" s="187"/>
      <c r="AG438" s="188"/>
      <c r="AH438" s="37"/>
    </row>
    <row r="439" spans="18:34">
      <c r="R439" s="205"/>
      <c r="S439" s="37"/>
      <c r="T439" s="199"/>
      <c r="U439" s="37"/>
      <c r="V439" s="37"/>
      <c r="W439" s="37"/>
      <c r="X439" s="37"/>
      <c r="Y439" s="37"/>
      <c r="Z439" s="37"/>
      <c r="AA439" s="37"/>
      <c r="AB439" s="203"/>
      <c r="AC439" s="204"/>
      <c r="AD439" s="185"/>
      <c r="AE439" s="186"/>
      <c r="AF439" s="187"/>
      <c r="AG439" s="188"/>
      <c r="AH439" s="37"/>
    </row>
    <row r="440" spans="18:34">
      <c r="R440" s="205"/>
      <c r="S440" s="37"/>
      <c r="T440" s="199"/>
      <c r="U440" s="37"/>
      <c r="V440" s="37"/>
      <c r="W440" s="37"/>
      <c r="X440" s="37"/>
      <c r="Y440" s="37"/>
      <c r="Z440" s="37"/>
      <c r="AA440" s="37"/>
      <c r="AB440" s="203"/>
      <c r="AC440" s="204"/>
      <c r="AD440" s="185"/>
      <c r="AE440" s="186"/>
      <c r="AF440" s="187"/>
      <c r="AG440" s="188"/>
      <c r="AH440" s="37"/>
    </row>
    <row r="441" spans="18:34">
      <c r="R441" s="205"/>
      <c r="S441" s="37"/>
      <c r="T441" s="199"/>
      <c r="U441" s="37"/>
      <c r="V441" s="37"/>
      <c r="W441" s="37"/>
      <c r="X441" s="37"/>
      <c r="Y441" s="37"/>
      <c r="Z441" s="37"/>
      <c r="AA441" s="37"/>
      <c r="AB441" s="203"/>
      <c r="AC441" s="204"/>
      <c r="AD441" s="185"/>
      <c r="AE441" s="186"/>
      <c r="AF441" s="187"/>
      <c r="AG441" s="188"/>
      <c r="AH441" s="37"/>
    </row>
    <row r="442" spans="18:34">
      <c r="R442" s="205"/>
      <c r="S442" s="37"/>
      <c r="T442" s="199"/>
      <c r="U442" s="37"/>
      <c r="V442" s="37"/>
      <c r="W442" s="37"/>
      <c r="X442" s="37"/>
      <c r="Y442" s="37"/>
      <c r="Z442" s="37"/>
      <c r="AA442" s="37"/>
      <c r="AB442" s="203"/>
      <c r="AC442" s="204"/>
      <c r="AD442" s="185"/>
      <c r="AE442" s="186"/>
      <c r="AF442" s="187"/>
      <c r="AG442" s="188"/>
      <c r="AH442" s="37"/>
    </row>
    <row r="443" spans="18:34">
      <c r="R443" s="205"/>
      <c r="S443" s="37"/>
      <c r="T443" s="199"/>
      <c r="U443" s="37"/>
      <c r="V443" s="37"/>
      <c r="W443" s="37"/>
      <c r="X443" s="37"/>
      <c r="Y443" s="37"/>
      <c r="Z443" s="37"/>
      <c r="AA443" s="37"/>
      <c r="AB443" s="203"/>
      <c r="AC443" s="204"/>
      <c r="AD443" s="185"/>
      <c r="AE443" s="186"/>
      <c r="AF443" s="187"/>
      <c r="AG443" s="188"/>
      <c r="AH443" s="37"/>
    </row>
    <row r="444" spans="18:34">
      <c r="R444" s="205"/>
      <c r="S444" s="37"/>
      <c r="T444" s="199"/>
      <c r="U444" s="37"/>
      <c r="V444" s="37"/>
      <c r="W444" s="37"/>
      <c r="X444" s="37"/>
      <c r="Y444" s="37"/>
      <c r="Z444" s="37"/>
      <c r="AA444" s="37"/>
      <c r="AB444" s="203"/>
      <c r="AC444" s="204"/>
      <c r="AD444" s="185"/>
      <c r="AE444" s="186"/>
      <c r="AF444" s="187"/>
      <c r="AG444" s="188"/>
      <c r="AH444" s="37"/>
    </row>
    <row r="445" spans="18:34">
      <c r="R445" s="205"/>
      <c r="S445" s="37"/>
      <c r="T445" s="199"/>
      <c r="U445" s="37"/>
      <c r="V445" s="37"/>
      <c r="W445" s="37"/>
      <c r="X445" s="37"/>
      <c r="Y445" s="37"/>
      <c r="Z445" s="37"/>
      <c r="AA445" s="37"/>
      <c r="AB445" s="203"/>
      <c r="AC445" s="204"/>
      <c r="AD445" s="185"/>
      <c r="AE445" s="186"/>
      <c r="AF445" s="187"/>
      <c r="AG445" s="188"/>
      <c r="AH445" s="37"/>
    </row>
    <row r="446" spans="18:34">
      <c r="R446" s="205"/>
      <c r="S446" s="37"/>
      <c r="T446" s="199"/>
      <c r="U446" s="37"/>
      <c r="V446" s="37"/>
      <c r="W446" s="37"/>
      <c r="X446" s="37"/>
      <c r="Y446" s="37"/>
      <c r="Z446" s="37"/>
      <c r="AA446" s="37"/>
      <c r="AB446" s="203"/>
      <c r="AC446" s="204"/>
      <c r="AD446" s="185"/>
      <c r="AE446" s="186"/>
      <c r="AF446" s="187"/>
      <c r="AG446" s="188"/>
      <c r="AH446" s="37"/>
    </row>
    <row r="447" spans="18:34">
      <c r="R447" s="205"/>
      <c r="S447" s="37"/>
      <c r="T447" s="199"/>
      <c r="U447" s="37"/>
      <c r="V447" s="37"/>
      <c r="W447" s="37"/>
      <c r="X447" s="37"/>
      <c r="Y447" s="37"/>
      <c r="Z447" s="37"/>
      <c r="AA447" s="37"/>
      <c r="AB447" s="203"/>
      <c r="AC447" s="204"/>
      <c r="AD447" s="185"/>
      <c r="AE447" s="186"/>
      <c r="AF447" s="187"/>
      <c r="AG447" s="188"/>
      <c r="AH447" s="37"/>
    </row>
    <row r="448" spans="18:34">
      <c r="R448" s="205"/>
      <c r="S448" s="37"/>
      <c r="T448" s="199"/>
      <c r="U448" s="37"/>
      <c r="V448" s="37"/>
      <c r="W448" s="37"/>
      <c r="X448" s="37"/>
      <c r="Y448" s="37"/>
      <c r="Z448" s="37"/>
      <c r="AA448" s="37"/>
      <c r="AB448" s="203"/>
      <c r="AC448" s="204"/>
      <c r="AD448" s="185"/>
      <c r="AE448" s="186"/>
      <c r="AF448" s="187"/>
      <c r="AG448" s="188"/>
      <c r="AH448" s="37"/>
    </row>
    <row r="449" spans="18:34">
      <c r="R449" s="205"/>
      <c r="S449" s="37"/>
      <c r="T449" s="199"/>
      <c r="U449" s="37"/>
      <c r="V449" s="37"/>
      <c r="W449" s="37"/>
      <c r="X449" s="37"/>
      <c r="Y449" s="37"/>
      <c r="Z449" s="37"/>
      <c r="AA449" s="37"/>
      <c r="AB449" s="203"/>
      <c r="AC449" s="204"/>
      <c r="AD449" s="185"/>
      <c r="AE449" s="186"/>
      <c r="AF449" s="187"/>
      <c r="AG449" s="188"/>
      <c r="AH449" s="37"/>
    </row>
    <row r="450" spans="18:34">
      <c r="R450" s="205"/>
      <c r="S450" s="37"/>
      <c r="T450" s="199"/>
      <c r="U450" s="37"/>
      <c r="V450" s="37"/>
      <c r="W450" s="37"/>
      <c r="X450" s="37"/>
      <c r="Y450" s="37"/>
      <c r="Z450" s="37"/>
      <c r="AA450" s="37"/>
      <c r="AB450" s="203"/>
      <c r="AC450" s="204"/>
      <c r="AD450" s="185"/>
      <c r="AE450" s="186"/>
      <c r="AF450" s="187"/>
      <c r="AG450" s="188"/>
      <c r="AH450" s="37"/>
    </row>
    <row r="451" spans="18:34">
      <c r="R451" s="205"/>
      <c r="S451" s="37"/>
      <c r="T451" s="199"/>
      <c r="U451" s="37"/>
      <c r="V451" s="37"/>
      <c r="W451" s="37"/>
      <c r="X451" s="37"/>
      <c r="Y451" s="37"/>
      <c r="Z451" s="37"/>
      <c r="AA451" s="37"/>
      <c r="AB451" s="203"/>
      <c r="AC451" s="204"/>
      <c r="AD451" s="185"/>
      <c r="AE451" s="186"/>
      <c r="AF451" s="187"/>
      <c r="AG451" s="188"/>
      <c r="AH451" s="37"/>
    </row>
    <row r="452" spans="18:34">
      <c r="R452" s="205"/>
      <c r="S452" s="37"/>
      <c r="T452" s="199"/>
      <c r="U452" s="37"/>
      <c r="V452" s="37"/>
      <c r="W452" s="37"/>
      <c r="X452" s="37"/>
      <c r="Y452" s="37"/>
      <c r="Z452" s="37"/>
      <c r="AA452" s="37"/>
      <c r="AB452" s="203"/>
      <c r="AC452" s="204"/>
      <c r="AD452" s="185"/>
      <c r="AE452" s="186"/>
      <c r="AF452" s="187"/>
      <c r="AG452" s="188"/>
      <c r="AH452" s="37"/>
    </row>
    <row r="453" spans="18:34">
      <c r="R453" s="205"/>
      <c r="S453" s="37"/>
      <c r="T453" s="199"/>
      <c r="U453" s="37"/>
      <c r="V453" s="37"/>
      <c r="W453" s="37"/>
      <c r="X453" s="37"/>
      <c r="Y453" s="37"/>
      <c r="Z453" s="37"/>
      <c r="AA453" s="37"/>
      <c r="AB453" s="203"/>
      <c r="AC453" s="204"/>
      <c r="AD453" s="185"/>
      <c r="AE453" s="186"/>
      <c r="AF453" s="187"/>
      <c r="AG453" s="188"/>
      <c r="AH453" s="37"/>
    </row>
    <row r="454" spans="18:34">
      <c r="R454" s="205"/>
      <c r="S454" s="37"/>
      <c r="T454" s="199"/>
      <c r="U454" s="37"/>
      <c r="V454" s="37"/>
      <c r="W454" s="37"/>
      <c r="X454" s="37"/>
      <c r="Y454" s="37"/>
      <c r="Z454" s="37"/>
      <c r="AA454" s="37"/>
      <c r="AB454" s="203"/>
      <c r="AC454" s="204"/>
      <c r="AD454" s="185"/>
      <c r="AE454" s="186"/>
      <c r="AF454" s="187"/>
      <c r="AG454" s="188"/>
      <c r="AH454" s="37"/>
    </row>
    <row r="455" spans="18:34">
      <c r="R455" s="205"/>
      <c r="S455" s="37"/>
      <c r="T455" s="199"/>
      <c r="U455" s="37"/>
      <c r="V455" s="37"/>
      <c r="W455" s="37"/>
      <c r="X455" s="37"/>
      <c r="Y455" s="37"/>
      <c r="Z455" s="37"/>
      <c r="AA455" s="37"/>
      <c r="AB455" s="203"/>
      <c r="AC455" s="204"/>
      <c r="AD455" s="185"/>
      <c r="AE455" s="186"/>
      <c r="AF455" s="187"/>
      <c r="AG455" s="188"/>
      <c r="AH455" s="37"/>
    </row>
    <row r="456" spans="18:34">
      <c r="R456" s="205"/>
      <c r="S456" s="37"/>
      <c r="T456" s="199"/>
      <c r="U456" s="37"/>
      <c r="V456" s="37"/>
      <c r="W456" s="37"/>
      <c r="X456" s="37"/>
      <c r="Y456" s="37"/>
      <c r="Z456" s="37"/>
      <c r="AA456" s="37"/>
      <c r="AB456" s="203"/>
      <c r="AC456" s="204"/>
      <c r="AD456" s="185"/>
      <c r="AE456" s="186"/>
      <c r="AF456" s="187"/>
      <c r="AG456" s="188"/>
      <c r="AH456" s="37"/>
    </row>
    <row r="457" spans="18:34">
      <c r="R457" s="205"/>
      <c r="S457" s="37"/>
      <c r="T457" s="199"/>
      <c r="U457" s="37"/>
      <c r="V457" s="37"/>
      <c r="W457" s="37"/>
      <c r="X457" s="37"/>
      <c r="Y457" s="37"/>
      <c r="Z457" s="37"/>
      <c r="AA457" s="37"/>
      <c r="AB457" s="203"/>
      <c r="AC457" s="204"/>
      <c r="AD457" s="185"/>
      <c r="AE457" s="186"/>
      <c r="AF457" s="187"/>
      <c r="AG457" s="188"/>
      <c r="AH457" s="37"/>
    </row>
    <row r="458" spans="18:34">
      <c r="R458" s="205"/>
      <c r="S458" s="37"/>
      <c r="T458" s="199"/>
      <c r="U458" s="37"/>
      <c r="V458" s="37"/>
      <c r="W458" s="37"/>
      <c r="X458" s="37"/>
      <c r="Y458" s="37"/>
      <c r="Z458" s="37"/>
      <c r="AA458" s="37"/>
      <c r="AB458" s="203"/>
      <c r="AC458" s="204"/>
      <c r="AD458" s="185"/>
      <c r="AE458" s="186"/>
      <c r="AF458" s="187"/>
      <c r="AG458" s="188"/>
      <c r="AH458" s="37"/>
    </row>
    <row r="459" spans="18:34">
      <c r="R459" s="205"/>
      <c r="S459" s="37"/>
      <c r="T459" s="199"/>
      <c r="U459" s="37"/>
      <c r="V459" s="37"/>
      <c r="W459" s="37"/>
      <c r="X459" s="37"/>
      <c r="Y459" s="37"/>
      <c r="Z459" s="37"/>
      <c r="AA459" s="37"/>
      <c r="AB459" s="203"/>
      <c r="AC459" s="204"/>
      <c r="AD459" s="185"/>
      <c r="AE459" s="186"/>
      <c r="AF459" s="187"/>
      <c r="AG459" s="188"/>
      <c r="AH459" s="37"/>
    </row>
    <row r="460" spans="18:34">
      <c r="R460" s="205"/>
      <c r="S460" s="37"/>
      <c r="T460" s="199"/>
      <c r="U460" s="37"/>
      <c r="V460" s="37"/>
      <c r="W460" s="37"/>
      <c r="X460" s="37"/>
      <c r="Y460" s="37"/>
      <c r="Z460" s="37"/>
      <c r="AA460" s="37"/>
      <c r="AB460" s="203"/>
      <c r="AC460" s="204"/>
      <c r="AD460" s="185"/>
      <c r="AE460" s="186"/>
      <c r="AF460" s="187"/>
      <c r="AG460" s="188"/>
      <c r="AH460" s="37"/>
    </row>
    <row r="461" spans="18:34">
      <c r="R461" s="205"/>
      <c r="S461" s="37"/>
      <c r="T461" s="199"/>
      <c r="U461" s="37"/>
      <c r="V461" s="37"/>
      <c r="W461" s="37"/>
      <c r="X461" s="37"/>
      <c r="Y461" s="37"/>
      <c r="Z461" s="37"/>
      <c r="AA461" s="37"/>
      <c r="AB461" s="203"/>
      <c r="AC461" s="204"/>
      <c r="AD461" s="185"/>
      <c r="AE461" s="186"/>
      <c r="AF461" s="187"/>
      <c r="AG461" s="188"/>
      <c r="AH461" s="37"/>
    </row>
    <row r="462" spans="18:34">
      <c r="R462" s="205"/>
      <c r="S462" s="37"/>
      <c r="T462" s="199"/>
      <c r="U462" s="37"/>
      <c r="V462" s="37"/>
      <c r="W462" s="37"/>
      <c r="X462" s="37"/>
      <c r="Y462" s="37"/>
      <c r="Z462" s="37"/>
      <c r="AA462" s="37"/>
      <c r="AB462" s="203"/>
      <c r="AC462" s="204"/>
      <c r="AD462" s="185"/>
      <c r="AE462" s="186"/>
      <c r="AF462" s="187"/>
      <c r="AG462" s="188"/>
      <c r="AH462" s="37"/>
    </row>
    <row r="463" spans="18:34">
      <c r="R463" s="205"/>
      <c r="S463" s="37"/>
      <c r="T463" s="199"/>
      <c r="U463" s="37"/>
      <c r="V463" s="37"/>
      <c r="W463" s="37"/>
      <c r="X463" s="37"/>
      <c r="Y463" s="37"/>
      <c r="Z463" s="37"/>
      <c r="AA463" s="37"/>
      <c r="AB463" s="203"/>
      <c r="AC463" s="204"/>
      <c r="AD463" s="185"/>
      <c r="AE463" s="186"/>
      <c r="AF463" s="187"/>
      <c r="AG463" s="188"/>
      <c r="AH463" s="37"/>
    </row>
    <row r="464" spans="18:34">
      <c r="R464" s="205"/>
      <c r="S464" s="37"/>
      <c r="T464" s="199"/>
      <c r="U464" s="37"/>
      <c r="V464" s="37"/>
      <c r="W464" s="37"/>
      <c r="X464" s="37"/>
      <c r="Y464" s="37"/>
      <c r="Z464" s="37"/>
      <c r="AA464" s="37"/>
      <c r="AB464" s="203"/>
      <c r="AC464" s="204"/>
      <c r="AD464" s="185"/>
      <c r="AE464" s="186"/>
      <c r="AF464" s="187"/>
      <c r="AG464" s="188"/>
      <c r="AH464" s="37"/>
    </row>
    <row r="465" spans="18:34">
      <c r="R465" s="205"/>
      <c r="S465" s="37"/>
      <c r="T465" s="199"/>
      <c r="U465" s="37"/>
      <c r="V465" s="37"/>
      <c r="W465" s="37"/>
      <c r="X465" s="37"/>
      <c r="Y465" s="37"/>
      <c r="Z465" s="37"/>
      <c r="AA465" s="37"/>
      <c r="AB465" s="203"/>
      <c r="AC465" s="204"/>
      <c r="AD465" s="185"/>
      <c r="AE465" s="186"/>
      <c r="AF465" s="187"/>
      <c r="AG465" s="188"/>
      <c r="AH465" s="37"/>
    </row>
    <row r="466" spans="18:34">
      <c r="R466" s="205"/>
      <c r="S466" s="37"/>
      <c r="T466" s="199"/>
      <c r="U466" s="37"/>
      <c r="V466" s="37"/>
      <c r="W466" s="37"/>
      <c r="X466" s="37"/>
      <c r="Y466" s="37"/>
      <c r="Z466" s="37"/>
      <c r="AA466" s="37"/>
      <c r="AB466" s="203"/>
      <c r="AC466" s="204"/>
      <c r="AD466" s="185"/>
      <c r="AE466" s="186"/>
      <c r="AF466" s="187"/>
      <c r="AG466" s="188"/>
      <c r="AH466" s="37"/>
    </row>
    <row r="467" spans="18:34">
      <c r="R467" s="205"/>
      <c r="S467" s="37"/>
      <c r="T467" s="199"/>
      <c r="U467" s="37"/>
      <c r="V467" s="37"/>
      <c r="W467" s="37"/>
      <c r="X467" s="37"/>
      <c r="Y467" s="37"/>
      <c r="Z467" s="37"/>
      <c r="AA467" s="37"/>
      <c r="AB467" s="203"/>
      <c r="AC467" s="204"/>
      <c r="AD467" s="185"/>
      <c r="AE467" s="186"/>
      <c r="AF467" s="187"/>
      <c r="AG467" s="188"/>
      <c r="AH467" s="37"/>
    </row>
    <row r="468" spans="18:34">
      <c r="R468" s="205"/>
      <c r="S468" s="37"/>
      <c r="T468" s="199"/>
      <c r="U468" s="37"/>
      <c r="V468" s="37"/>
      <c r="W468" s="37"/>
      <c r="X468" s="37"/>
      <c r="Y468" s="37"/>
      <c r="Z468" s="37"/>
      <c r="AA468" s="37"/>
      <c r="AB468" s="203"/>
      <c r="AC468" s="204"/>
      <c r="AD468" s="185"/>
      <c r="AE468" s="186"/>
      <c r="AF468" s="187"/>
      <c r="AG468" s="188"/>
      <c r="AH468" s="37"/>
    </row>
    <row r="469" spans="18:34">
      <c r="R469" s="205"/>
      <c r="S469" s="37"/>
      <c r="T469" s="199"/>
      <c r="U469" s="37"/>
      <c r="V469" s="37"/>
      <c r="W469" s="37"/>
      <c r="X469" s="37"/>
      <c r="Y469" s="37"/>
      <c r="Z469" s="37"/>
      <c r="AA469" s="37"/>
      <c r="AB469" s="203"/>
      <c r="AC469" s="204"/>
      <c r="AD469" s="185"/>
      <c r="AE469" s="186"/>
      <c r="AF469" s="187"/>
      <c r="AG469" s="188"/>
      <c r="AH469" s="37"/>
    </row>
    <row r="470" spans="18:34">
      <c r="R470" s="205"/>
      <c r="S470" s="37"/>
      <c r="T470" s="199"/>
      <c r="U470" s="37"/>
      <c r="V470" s="37"/>
      <c r="W470" s="37"/>
      <c r="X470" s="37"/>
      <c r="Y470" s="37"/>
      <c r="Z470" s="37"/>
      <c r="AA470" s="37"/>
      <c r="AB470" s="203"/>
      <c r="AC470" s="204"/>
      <c r="AD470" s="185"/>
      <c r="AE470" s="186"/>
      <c r="AF470" s="187"/>
      <c r="AG470" s="188"/>
      <c r="AH470" s="37"/>
    </row>
    <row r="471" spans="18:34">
      <c r="R471" s="205"/>
      <c r="S471" s="37"/>
      <c r="T471" s="199"/>
      <c r="U471" s="37"/>
      <c r="V471" s="37"/>
      <c r="W471" s="37"/>
      <c r="X471" s="37"/>
      <c r="Y471" s="37"/>
      <c r="Z471" s="37"/>
      <c r="AA471" s="37"/>
      <c r="AB471" s="203"/>
      <c r="AC471" s="204"/>
      <c r="AD471" s="185"/>
      <c r="AE471" s="186"/>
      <c r="AF471" s="187"/>
      <c r="AG471" s="188"/>
      <c r="AH471" s="37"/>
    </row>
    <row r="472" spans="18:34">
      <c r="R472" s="205"/>
      <c r="S472" s="37"/>
      <c r="T472" s="199"/>
      <c r="U472" s="37"/>
      <c r="V472" s="37"/>
      <c r="W472" s="37"/>
      <c r="X472" s="37"/>
      <c r="Y472" s="37"/>
      <c r="Z472" s="37"/>
      <c r="AA472" s="37"/>
      <c r="AB472" s="203"/>
      <c r="AC472" s="204"/>
      <c r="AD472" s="185"/>
      <c r="AE472" s="186"/>
      <c r="AF472" s="187"/>
      <c r="AG472" s="188"/>
      <c r="AH472" s="37"/>
    </row>
    <row r="473" spans="18:34">
      <c r="R473" s="205"/>
      <c r="S473" s="37"/>
      <c r="T473" s="199"/>
      <c r="U473" s="37"/>
      <c r="V473" s="37"/>
      <c r="W473" s="37"/>
      <c r="X473" s="37"/>
      <c r="Y473" s="37"/>
      <c r="Z473" s="37"/>
      <c r="AA473" s="37"/>
      <c r="AB473" s="203"/>
      <c r="AC473" s="204"/>
      <c r="AD473" s="185"/>
      <c r="AE473" s="186"/>
      <c r="AF473" s="187"/>
      <c r="AG473" s="188"/>
      <c r="AH473" s="37"/>
    </row>
    <row r="474" spans="18:34">
      <c r="R474" s="205"/>
      <c r="S474" s="37"/>
      <c r="T474" s="199"/>
      <c r="U474" s="37"/>
      <c r="V474" s="37"/>
      <c r="W474" s="37"/>
      <c r="X474" s="37"/>
      <c r="Y474" s="37"/>
      <c r="Z474" s="37"/>
      <c r="AA474" s="37"/>
      <c r="AB474" s="203"/>
      <c r="AC474" s="204"/>
      <c r="AD474" s="185"/>
      <c r="AE474" s="186"/>
      <c r="AF474" s="187"/>
      <c r="AG474" s="188"/>
      <c r="AH474" s="37"/>
    </row>
    <row r="475" spans="18:34">
      <c r="R475" s="205"/>
      <c r="S475" s="37"/>
      <c r="T475" s="199"/>
      <c r="U475" s="37"/>
      <c r="V475" s="37"/>
      <c r="W475" s="37"/>
      <c r="X475" s="37"/>
      <c r="Y475" s="37"/>
      <c r="Z475" s="37"/>
      <c r="AA475" s="37"/>
      <c r="AB475" s="203"/>
      <c r="AC475" s="204"/>
      <c r="AD475" s="185"/>
      <c r="AE475" s="186"/>
      <c r="AF475" s="187"/>
      <c r="AG475" s="188"/>
      <c r="AH475" s="37"/>
    </row>
    <row r="476" spans="18:34">
      <c r="R476" s="205"/>
      <c r="S476" s="37"/>
      <c r="T476" s="199"/>
      <c r="U476" s="37"/>
      <c r="V476" s="37"/>
      <c r="W476" s="37"/>
      <c r="X476" s="37"/>
      <c r="Y476" s="37"/>
      <c r="Z476" s="37"/>
      <c r="AA476" s="37"/>
      <c r="AB476" s="203"/>
      <c r="AC476" s="204"/>
      <c r="AD476" s="185"/>
      <c r="AE476" s="186"/>
      <c r="AF476" s="187"/>
      <c r="AG476" s="188"/>
      <c r="AH476" s="37"/>
    </row>
    <row r="477" spans="18:34">
      <c r="R477" s="205"/>
      <c r="S477" s="37"/>
      <c r="T477" s="199"/>
      <c r="U477" s="37"/>
      <c r="V477" s="37"/>
      <c r="W477" s="37"/>
      <c r="X477" s="37"/>
      <c r="Y477" s="37"/>
      <c r="Z477" s="37"/>
      <c r="AA477" s="37"/>
      <c r="AB477" s="203"/>
      <c r="AC477" s="204"/>
      <c r="AD477" s="185"/>
      <c r="AE477" s="186"/>
      <c r="AF477" s="187"/>
      <c r="AG477" s="188"/>
      <c r="AH477" s="37"/>
    </row>
    <row r="478" spans="18:34">
      <c r="R478" s="205"/>
      <c r="S478" s="37"/>
      <c r="T478" s="199"/>
      <c r="U478" s="37"/>
      <c r="V478" s="37"/>
      <c r="W478" s="37"/>
      <c r="X478" s="37"/>
      <c r="Y478" s="37"/>
      <c r="Z478" s="37"/>
      <c r="AA478" s="37"/>
      <c r="AB478" s="203"/>
      <c r="AC478" s="204"/>
      <c r="AD478" s="185"/>
      <c r="AE478" s="186"/>
      <c r="AF478" s="187"/>
      <c r="AG478" s="188"/>
      <c r="AH478" s="37"/>
    </row>
    <row r="479" spans="18:34">
      <c r="R479" s="205"/>
      <c r="S479" s="37"/>
      <c r="T479" s="199"/>
      <c r="U479" s="37"/>
      <c r="V479" s="37"/>
      <c r="W479" s="37"/>
      <c r="X479" s="37"/>
      <c r="Y479" s="37"/>
      <c r="Z479" s="37"/>
      <c r="AA479" s="37"/>
      <c r="AB479" s="203"/>
      <c r="AC479" s="204"/>
      <c r="AD479" s="185"/>
      <c r="AE479" s="186"/>
      <c r="AF479" s="187"/>
      <c r="AG479" s="188"/>
      <c r="AH479" s="37"/>
    </row>
    <row r="480" spans="18:34">
      <c r="R480" s="205"/>
      <c r="S480" s="37"/>
      <c r="T480" s="199"/>
      <c r="U480" s="37"/>
      <c r="V480" s="37"/>
      <c r="W480" s="37"/>
      <c r="X480" s="37"/>
      <c r="Y480" s="37"/>
      <c r="Z480" s="37"/>
      <c r="AA480" s="37"/>
      <c r="AB480" s="203"/>
      <c r="AC480" s="204"/>
      <c r="AD480" s="185"/>
      <c r="AE480" s="186"/>
      <c r="AF480" s="187"/>
      <c r="AG480" s="188"/>
      <c r="AH480" s="37"/>
    </row>
    <row r="481" spans="18:34">
      <c r="R481" s="205"/>
      <c r="S481" s="37"/>
      <c r="T481" s="199"/>
      <c r="U481" s="37"/>
      <c r="V481" s="37"/>
      <c r="W481" s="37"/>
      <c r="X481" s="37"/>
      <c r="Y481" s="37"/>
      <c r="Z481" s="37"/>
      <c r="AA481" s="37"/>
      <c r="AB481" s="203"/>
      <c r="AC481" s="204"/>
      <c r="AD481" s="185"/>
      <c r="AE481" s="186"/>
      <c r="AF481" s="187"/>
      <c r="AG481" s="188"/>
      <c r="AH481" s="37"/>
    </row>
    <row r="482" spans="18:34">
      <c r="R482" s="205"/>
      <c r="S482" s="37"/>
      <c r="T482" s="199"/>
      <c r="U482" s="37"/>
      <c r="V482" s="37"/>
      <c r="W482" s="37"/>
      <c r="X482" s="37"/>
      <c r="Y482" s="37"/>
      <c r="Z482" s="37"/>
      <c r="AA482" s="37"/>
      <c r="AB482" s="203"/>
      <c r="AC482" s="204"/>
      <c r="AD482" s="185"/>
      <c r="AE482" s="186"/>
      <c r="AF482" s="187"/>
      <c r="AG482" s="188"/>
      <c r="AH482" s="37"/>
    </row>
    <row r="483" spans="18:34">
      <c r="R483" s="205"/>
      <c r="S483" s="37"/>
      <c r="T483" s="199"/>
      <c r="U483" s="37"/>
      <c r="V483" s="37"/>
      <c r="W483" s="37"/>
      <c r="X483" s="37"/>
      <c r="Y483" s="37"/>
      <c r="Z483" s="37"/>
      <c r="AA483" s="37"/>
      <c r="AB483" s="203"/>
      <c r="AC483" s="204"/>
      <c r="AD483" s="185"/>
      <c r="AE483" s="186"/>
      <c r="AF483" s="187"/>
      <c r="AG483" s="188"/>
      <c r="AH483" s="37"/>
    </row>
    <row r="484" spans="18:34">
      <c r="R484" s="205"/>
      <c r="S484" s="37"/>
      <c r="T484" s="199"/>
      <c r="U484" s="37"/>
      <c r="V484" s="37"/>
      <c r="W484" s="37"/>
      <c r="X484" s="37"/>
      <c r="Y484" s="37"/>
      <c r="Z484" s="37"/>
      <c r="AA484" s="37"/>
      <c r="AB484" s="203"/>
      <c r="AC484" s="204"/>
      <c r="AD484" s="185"/>
      <c r="AE484" s="186"/>
      <c r="AF484" s="187"/>
      <c r="AG484" s="188"/>
      <c r="AH484" s="37"/>
    </row>
    <row r="485" spans="18:34">
      <c r="R485" s="205"/>
      <c r="S485" s="37"/>
      <c r="T485" s="199"/>
      <c r="U485" s="37"/>
      <c r="V485" s="37"/>
      <c r="W485" s="37"/>
      <c r="X485" s="37"/>
      <c r="Y485" s="37"/>
      <c r="Z485" s="37"/>
      <c r="AA485" s="37"/>
      <c r="AB485" s="203"/>
      <c r="AC485" s="204"/>
      <c r="AD485" s="185"/>
      <c r="AE485" s="186"/>
      <c r="AF485" s="187"/>
      <c r="AG485" s="188"/>
      <c r="AH485" s="37"/>
    </row>
    <row r="486" spans="18:34">
      <c r="R486" s="205"/>
      <c r="S486" s="37"/>
      <c r="T486" s="199"/>
      <c r="U486" s="37"/>
      <c r="V486" s="37"/>
      <c r="W486" s="37"/>
      <c r="X486" s="37"/>
      <c r="Y486" s="37"/>
      <c r="Z486" s="37"/>
      <c r="AA486" s="37"/>
      <c r="AB486" s="203"/>
      <c r="AC486" s="204"/>
      <c r="AD486" s="185"/>
      <c r="AE486" s="186"/>
      <c r="AF486" s="187"/>
      <c r="AG486" s="188"/>
      <c r="AH486" s="37"/>
    </row>
    <row r="487" spans="18:34">
      <c r="R487" s="205"/>
      <c r="S487" s="37"/>
      <c r="T487" s="199"/>
      <c r="U487" s="37"/>
      <c r="V487" s="37"/>
      <c r="W487" s="37"/>
      <c r="X487" s="37"/>
      <c r="Y487" s="37"/>
      <c r="Z487" s="37"/>
      <c r="AA487" s="37"/>
      <c r="AB487" s="203"/>
      <c r="AC487" s="204"/>
      <c r="AD487" s="185"/>
      <c r="AE487" s="186"/>
      <c r="AF487" s="187"/>
      <c r="AG487" s="188"/>
      <c r="AH487" s="37"/>
    </row>
    <row r="488" spans="18:34">
      <c r="R488" s="205"/>
      <c r="S488" s="37"/>
      <c r="T488" s="199"/>
      <c r="U488" s="37"/>
      <c r="V488" s="37"/>
      <c r="W488" s="37"/>
      <c r="X488" s="37"/>
      <c r="Y488" s="37"/>
      <c r="Z488" s="37"/>
      <c r="AA488" s="37"/>
      <c r="AB488" s="203"/>
      <c r="AC488" s="204"/>
      <c r="AD488" s="185"/>
      <c r="AE488" s="186"/>
      <c r="AF488" s="187"/>
      <c r="AG488" s="188"/>
      <c r="AH488" s="37"/>
    </row>
    <row r="489" spans="18:34">
      <c r="R489" s="205"/>
      <c r="S489" s="37"/>
      <c r="T489" s="199"/>
      <c r="U489" s="37"/>
      <c r="V489" s="37"/>
      <c r="W489" s="37"/>
      <c r="X489" s="37"/>
      <c r="Y489" s="37"/>
      <c r="Z489" s="37"/>
      <c r="AA489" s="37"/>
      <c r="AB489" s="203"/>
      <c r="AC489" s="204"/>
      <c r="AD489" s="185"/>
      <c r="AE489" s="186"/>
      <c r="AF489" s="187"/>
      <c r="AG489" s="188"/>
      <c r="AH489" s="37"/>
    </row>
    <row r="490" spans="18:34">
      <c r="R490" s="205"/>
      <c r="S490" s="37"/>
      <c r="T490" s="199"/>
      <c r="U490" s="37"/>
      <c r="V490" s="37"/>
      <c r="W490" s="37"/>
      <c r="X490" s="37"/>
      <c r="Y490" s="37"/>
      <c r="Z490" s="37"/>
      <c r="AA490" s="37"/>
      <c r="AB490" s="203"/>
      <c r="AC490" s="204"/>
      <c r="AD490" s="185"/>
      <c r="AE490" s="186"/>
      <c r="AF490" s="187"/>
      <c r="AG490" s="188"/>
      <c r="AH490" s="37"/>
    </row>
    <row r="491" spans="18:34">
      <c r="R491" s="205"/>
      <c r="S491" s="37"/>
      <c r="T491" s="199"/>
      <c r="U491" s="37"/>
      <c r="V491" s="37"/>
      <c r="W491" s="37"/>
      <c r="X491" s="37"/>
      <c r="Y491" s="37"/>
      <c r="Z491" s="37"/>
      <c r="AA491" s="37"/>
      <c r="AB491" s="203"/>
      <c r="AC491" s="204"/>
      <c r="AD491" s="185"/>
      <c r="AE491" s="186"/>
      <c r="AF491" s="187"/>
      <c r="AG491" s="188"/>
      <c r="AH491" s="37"/>
    </row>
    <row r="492" spans="18:34">
      <c r="R492" s="205"/>
      <c r="S492" s="37"/>
      <c r="T492" s="199"/>
      <c r="U492" s="37"/>
      <c r="V492" s="37"/>
      <c r="W492" s="37"/>
      <c r="X492" s="37"/>
      <c r="Y492" s="37"/>
      <c r="Z492" s="37"/>
      <c r="AA492" s="37"/>
      <c r="AB492" s="203"/>
      <c r="AC492" s="204"/>
      <c r="AD492" s="185"/>
      <c r="AE492" s="186"/>
      <c r="AF492" s="187"/>
      <c r="AG492" s="188"/>
      <c r="AH492" s="37"/>
    </row>
    <row r="493" spans="18:34">
      <c r="R493" s="205"/>
      <c r="S493" s="37"/>
      <c r="T493" s="199"/>
      <c r="U493" s="37"/>
      <c r="V493" s="37"/>
      <c r="W493" s="37"/>
      <c r="X493" s="37"/>
      <c r="Y493" s="37"/>
      <c r="Z493" s="37"/>
      <c r="AA493" s="37"/>
      <c r="AB493" s="203"/>
      <c r="AC493" s="204"/>
      <c r="AD493" s="185"/>
      <c r="AE493" s="186"/>
      <c r="AF493" s="187"/>
      <c r="AG493" s="188"/>
      <c r="AH493" s="37"/>
    </row>
    <row r="494" spans="18:34">
      <c r="R494" s="205"/>
      <c r="S494" s="37"/>
      <c r="T494" s="199"/>
      <c r="U494" s="37"/>
      <c r="V494" s="37"/>
      <c r="W494" s="37"/>
      <c r="X494" s="37"/>
      <c r="Y494" s="37"/>
      <c r="Z494" s="37"/>
      <c r="AA494" s="37"/>
      <c r="AB494" s="203"/>
      <c r="AC494" s="204"/>
      <c r="AD494" s="185"/>
      <c r="AE494" s="186"/>
      <c r="AF494" s="187"/>
      <c r="AG494" s="188"/>
      <c r="AH494" s="37"/>
    </row>
    <row r="495" spans="18:34">
      <c r="R495" s="205"/>
      <c r="S495" s="37"/>
      <c r="T495" s="199"/>
      <c r="U495" s="37"/>
      <c r="V495" s="37"/>
      <c r="W495" s="37"/>
      <c r="X495" s="37"/>
      <c r="Y495" s="37"/>
      <c r="Z495" s="37"/>
      <c r="AA495" s="37"/>
      <c r="AB495" s="203"/>
      <c r="AC495" s="204"/>
      <c r="AD495" s="185"/>
      <c r="AE495" s="186"/>
      <c r="AF495" s="187"/>
      <c r="AG495" s="188"/>
      <c r="AH495" s="37"/>
    </row>
    <row r="496" spans="18:34">
      <c r="R496" s="205"/>
      <c r="S496" s="37"/>
      <c r="T496" s="199"/>
      <c r="U496" s="37"/>
      <c r="V496" s="37"/>
      <c r="W496" s="37"/>
      <c r="X496" s="37"/>
      <c r="Y496" s="37"/>
      <c r="Z496" s="37"/>
      <c r="AA496" s="37"/>
      <c r="AB496" s="203"/>
      <c r="AC496" s="204"/>
      <c r="AD496" s="185"/>
      <c r="AE496" s="186"/>
      <c r="AF496" s="187"/>
      <c r="AG496" s="188"/>
      <c r="AH496" s="37"/>
    </row>
    <row r="497" spans="18:34">
      <c r="R497" s="205"/>
      <c r="S497" s="37"/>
      <c r="T497" s="199"/>
      <c r="U497" s="37"/>
      <c r="V497" s="37"/>
      <c r="W497" s="37"/>
      <c r="X497" s="37"/>
      <c r="Y497" s="37"/>
      <c r="Z497" s="37"/>
      <c r="AA497" s="37"/>
      <c r="AB497" s="203"/>
      <c r="AC497" s="204"/>
      <c r="AD497" s="185"/>
      <c r="AE497" s="186"/>
      <c r="AF497" s="187"/>
      <c r="AG497" s="188"/>
      <c r="AH497" s="37"/>
    </row>
    <row r="498" spans="18:34">
      <c r="R498" s="205"/>
      <c r="S498" s="37"/>
      <c r="T498" s="199"/>
      <c r="U498" s="37"/>
      <c r="V498" s="37"/>
      <c r="W498" s="37"/>
      <c r="X498" s="37"/>
      <c r="Y498" s="37"/>
      <c r="Z498" s="37"/>
      <c r="AA498" s="37"/>
      <c r="AB498" s="203"/>
      <c r="AC498" s="204"/>
      <c r="AD498" s="185"/>
      <c r="AE498" s="186"/>
      <c r="AF498" s="187"/>
      <c r="AG498" s="188"/>
      <c r="AH498" s="37"/>
    </row>
    <row r="499" spans="18:34">
      <c r="R499" s="205"/>
      <c r="S499" s="37"/>
      <c r="T499" s="199"/>
      <c r="U499" s="37"/>
      <c r="V499" s="37"/>
      <c r="W499" s="37"/>
      <c r="X499" s="37"/>
      <c r="Y499" s="37"/>
      <c r="Z499" s="37"/>
      <c r="AA499" s="37"/>
      <c r="AB499" s="203"/>
      <c r="AC499" s="204"/>
      <c r="AD499" s="185"/>
      <c r="AE499" s="186"/>
      <c r="AF499" s="187"/>
      <c r="AG499" s="188"/>
      <c r="AH499" s="37"/>
    </row>
    <row r="500" spans="18:34">
      <c r="R500" s="205"/>
      <c r="S500" s="37"/>
      <c r="T500" s="199"/>
      <c r="U500" s="37"/>
      <c r="V500" s="37"/>
      <c r="W500" s="37"/>
      <c r="X500" s="37"/>
      <c r="Y500" s="37"/>
      <c r="Z500" s="37"/>
      <c r="AA500" s="37"/>
      <c r="AB500" s="203"/>
      <c r="AC500" s="204"/>
      <c r="AD500" s="185"/>
      <c r="AE500" s="186"/>
      <c r="AF500" s="187"/>
      <c r="AG500" s="188"/>
      <c r="AH500" s="37"/>
    </row>
    <row r="501" spans="18:34">
      <c r="R501" s="205"/>
      <c r="S501" s="37"/>
      <c r="T501" s="199"/>
      <c r="U501" s="37"/>
      <c r="V501" s="37"/>
      <c r="W501" s="37"/>
      <c r="X501" s="37"/>
      <c r="Y501" s="37"/>
      <c r="Z501" s="37"/>
      <c r="AA501" s="37"/>
      <c r="AB501" s="203"/>
      <c r="AC501" s="204"/>
      <c r="AD501" s="185"/>
      <c r="AE501" s="186"/>
      <c r="AF501" s="187"/>
      <c r="AG501" s="188"/>
      <c r="AH501" s="37"/>
    </row>
    <row r="502" spans="18:34">
      <c r="R502" s="205"/>
      <c r="S502" s="37"/>
      <c r="T502" s="199"/>
      <c r="U502" s="37"/>
      <c r="V502" s="37"/>
      <c r="W502" s="37"/>
      <c r="X502" s="37"/>
      <c r="Y502" s="37"/>
      <c r="Z502" s="37"/>
      <c r="AA502" s="37"/>
      <c r="AB502" s="203"/>
      <c r="AC502" s="204"/>
      <c r="AD502" s="185"/>
      <c r="AE502" s="186"/>
      <c r="AF502" s="187"/>
      <c r="AG502" s="188"/>
      <c r="AH502" s="37"/>
    </row>
    <row r="503" spans="18:34">
      <c r="R503" s="205"/>
      <c r="S503" s="37"/>
      <c r="T503" s="199"/>
      <c r="U503" s="37"/>
      <c r="V503" s="37"/>
      <c r="W503" s="37"/>
      <c r="X503" s="37"/>
      <c r="Y503" s="37"/>
      <c r="Z503" s="37"/>
      <c r="AA503" s="37"/>
      <c r="AB503" s="203"/>
      <c r="AC503" s="204"/>
      <c r="AD503" s="185"/>
      <c r="AE503" s="186"/>
      <c r="AF503" s="187"/>
      <c r="AG503" s="188"/>
      <c r="AH503" s="37"/>
    </row>
    <row r="504" spans="18:34">
      <c r="R504" s="205"/>
      <c r="S504" s="37"/>
      <c r="T504" s="199"/>
      <c r="U504" s="37"/>
      <c r="V504" s="37"/>
      <c r="W504" s="37"/>
      <c r="X504" s="37"/>
      <c r="Y504" s="37"/>
      <c r="Z504" s="37"/>
      <c r="AA504" s="37"/>
      <c r="AB504" s="203"/>
      <c r="AC504" s="204"/>
      <c r="AD504" s="185"/>
      <c r="AE504" s="186"/>
      <c r="AF504" s="187"/>
      <c r="AG504" s="188"/>
      <c r="AH504" s="37"/>
    </row>
    <row r="505" spans="18:34">
      <c r="R505" s="205"/>
      <c r="S505" s="37"/>
      <c r="T505" s="199"/>
      <c r="U505" s="37"/>
      <c r="V505" s="37"/>
      <c r="W505" s="37"/>
      <c r="X505" s="37"/>
      <c r="Y505" s="37"/>
      <c r="Z505" s="37"/>
      <c r="AA505" s="37"/>
      <c r="AB505" s="203"/>
      <c r="AC505" s="204"/>
      <c r="AD505" s="185"/>
      <c r="AE505" s="186"/>
      <c r="AF505" s="187"/>
      <c r="AG505" s="188"/>
      <c r="AH505" s="37"/>
    </row>
    <row r="506" spans="18:34">
      <c r="R506" s="205"/>
      <c r="S506" s="37"/>
      <c r="T506" s="199"/>
      <c r="U506" s="37"/>
      <c r="V506" s="37"/>
      <c r="W506" s="37"/>
      <c r="X506" s="37"/>
      <c r="Y506" s="37"/>
      <c r="Z506" s="37"/>
      <c r="AA506" s="37"/>
      <c r="AB506" s="203"/>
      <c r="AC506" s="204"/>
      <c r="AD506" s="185"/>
      <c r="AE506" s="186"/>
      <c r="AF506" s="187"/>
      <c r="AG506" s="188"/>
      <c r="AH506" s="37"/>
    </row>
    <row r="507" spans="18:34">
      <c r="R507" s="205"/>
      <c r="S507" s="37"/>
      <c r="T507" s="199"/>
      <c r="U507" s="37"/>
      <c r="V507" s="37"/>
      <c r="W507" s="37"/>
      <c r="X507" s="37"/>
      <c r="Y507" s="37"/>
      <c r="Z507" s="37"/>
      <c r="AA507" s="37"/>
      <c r="AB507" s="203"/>
      <c r="AC507" s="204"/>
      <c r="AD507" s="185"/>
      <c r="AE507" s="186"/>
      <c r="AF507" s="187"/>
      <c r="AG507" s="188"/>
      <c r="AH507" s="37"/>
    </row>
    <row r="508" spans="18:34">
      <c r="R508" s="205"/>
      <c r="S508" s="37"/>
      <c r="T508" s="199"/>
      <c r="U508" s="37"/>
      <c r="V508" s="37"/>
      <c r="W508" s="37"/>
      <c r="X508" s="37"/>
      <c r="Y508" s="37"/>
      <c r="Z508" s="37"/>
      <c r="AA508" s="37"/>
      <c r="AB508" s="203"/>
      <c r="AC508" s="204"/>
      <c r="AD508" s="185"/>
      <c r="AE508" s="186"/>
      <c r="AF508" s="187"/>
      <c r="AG508" s="188"/>
      <c r="AH508" s="37"/>
    </row>
    <row r="509" spans="18:34">
      <c r="R509" s="205"/>
      <c r="S509" s="37"/>
      <c r="T509" s="199"/>
      <c r="U509" s="37"/>
      <c r="V509" s="37"/>
      <c r="W509" s="37"/>
      <c r="X509" s="37"/>
      <c r="Y509" s="37"/>
      <c r="Z509" s="37"/>
      <c r="AA509" s="37"/>
      <c r="AB509" s="203"/>
      <c r="AC509" s="204"/>
      <c r="AD509" s="185"/>
      <c r="AE509" s="186"/>
      <c r="AF509" s="187"/>
      <c r="AG509" s="188"/>
      <c r="AH509" s="37"/>
    </row>
    <row r="510" spans="18:34">
      <c r="R510" s="205"/>
      <c r="S510" s="37"/>
      <c r="T510" s="199"/>
      <c r="U510" s="37"/>
      <c r="V510" s="37"/>
      <c r="W510" s="37"/>
      <c r="X510" s="37"/>
      <c r="Y510" s="37"/>
      <c r="Z510" s="37"/>
      <c r="AA510" s="37"/>
      <c r="AB510" s="203"/>
      <c r="AC510" s="204"/>
      <c r="AD510" s="185"/>
      <c r="AE510" s="186"/>
      <c r="AF510" s="187"/>
      <c r="AG510" s="188"/>
      <c r="AH510" s="37"/>
    </row>
    <row r="511" spans="18:34">
      <c r="R511" s="205"/>
      <c r="S511" s="37"/>
      <c r="T511" s="199"/>
      <c r="U511" s="37"/>
      <c r="V511" s="37"/>
      <c r="W511" s="37"/>
      <c r="X511" s="37"/>
      <c r="Y511" s="37"/>
      <c r="Z511" s="37"/>
      <c r="AA511" s="37"/>
      <c r="AB511" s="203"/>
      <c r="AC511" s="204"/>
      <c r="AD511" s="185"/>
      <c r="AE511" s="186"/>
      <c r="AF511" s="187"/>
      <c r="AG511" s="188"/>
      <c r="AH511" s="37"/>
    </row>
    <row r="512" spans="18:34">
      <c r="R512" s="205"/>
      <c r="S512" s="37"/>
      <c r="T512" s="199"/>
      <c r="U512" s="37"/>
      <c r="V512" s="37"/>
      <c r="W512" s="37"/>
      <c r="X512" s="37"/>
      <c r="Y512" s="37"/>
      <c r="Z512" s="37"/>
      <c r="AA512" s="37"/>
      <c r="AB512" s="203"/>
      <c r="AC512" s="204"/>
      <c r="AD512" s="185"/>
      <c r="AE512" s="186"/>
      <c r="AF512" s="187"/>
      <c r="AG512" s="188"/>
      <c r="AH512" s="37"/>
    </row>
    <row r="513" spans="18:34">
      <c r="R513" s="205"/>
      <c r="S513" s="37"/>
      <c r="T513" s="199"/>
      <c r="U513" s="37"/>
      <c r="V513" s="37"/>
      <c r="W513" s="37"/>
      <c r="X513" s="37"/>
      <c r="Y513" s="37"/>
      <c r="Z513" s="37"/>
      <c r="AA513" s="37"/>
      <c r="AB513" s="203"/>
      <c r="AC513" s="204"/>
      <c r="AD513" s="185"/>
      <c r="AE513" s="186"/>
      <c r="AF513" s="187"/>
      <c r="AG513" s="188"/>
      <c r="AH513" s="37"/>
    </row>
    <row r="514" spans="18:34">
      <c r="R514" s="205"/>
      <c r="S514" s="37"/>
      <c r="T514" s="199"/>
      <c r="U514" s="37"/>
      <c r="V514" s="37"/>
      <c r="W514" s="37"/>
      <c r="X514" s="37"/>
      <c r="Y514" s="37"/>
      <c r="Z514" s="37"/>
      <c r="AA514" s="37"/>
      <c r="AB514" s="203"/>
      <c r="AC514" s="204"/>
      <c r="AD514" s="185"/>
      <c r="AE514" s="186"/>
      <c r="AF514" s="187"/>
      <c r="AG514" s="188"/>
      <c r="AH514" s="37"/>
    </row>
    <row r="515" spans="18:34">
      <c r="R515" s="205"/>
      <c r="S515" s="37"/>
      <c r="T515" s="199"/>
      <c r="U515" s="37"/>
      <c r="V515" s="37"/>
      <c r="W515" s="37"/>
      <c r="X515" s="37"/>
      <c r="Y515" s="37"/>
      <c r="Z515" s="37"/>
      <c r="AA515" s="37"/>
      <c r="AB515" s="203"/>
      <c r="AC515" s="204"/>
      <c r="AD515" s="185"/>
      <c r="AE515" s="186"/>
      <c r="AF515" s="187"/>
      <c r="AG515" s="188"/>
      <c r="AH515" s="37"/>
    </row>
    <row r="516" spans="18:34">
      <c r="R516" s="205"/>
      <c r="S516" s="37"/>
      <c r="T516" s="199"/>
      <c r="U516" s="37"/>
      <c r="V516" s="37"/>
      <c r="W516" s="37"/>
      <c r="X516" s="37"/>
      <c r="Y516" s="37"/>
      <c r="Z516" s="37"/>
      <c r="AA516" s="37"/>
      <c r="AB516" s="203"/>
      <c r="AC516" s="204"/>
      <c r="AD516" s="185"/>
      <c r="AE516" s="186"/>
      <c r="AF516" s="187"/>
      <c r="AG516" s="188"/>
      <c r="AH516" s="37"/>
    </row>
    <row r="517" spans="18:34">
      <c r="R517" s="205"/>
      <c r="S517" s="37"/>
      <c r="T517" s="199"/>
      <c r="U517" s="37"/>
      <c r="V517" s="37"/>
      <c r="W517" s="37"/>
      <c r="X517" s="37"/>
      <c r="Y517" s="37"/>
      <c r="Z517" s="37"/>
      <c r="AA517" s="37"/>
      <c r="AB517" s="203"/>
      <c r="AC517" s="204"/>
      <c r="AD517" s="185"/>
      <c r="AE517" s="186"/>
      <c r="AF517" s="187"/>
      <c r="AG517" s="188"/>
      <c r="AH517" s="37"/>
    </row>
    <row r="518" spans="18:34">
      <c r="R518" s="205"/>
      <c r="S518" s="37"/>
      <c r="T518" s="199"/>
      <c r="U518" s="37"/>
      <c r="V518" s="37"/>
      <c r="W518" s="37"/>
      <c r="X518" s="37"/>
      <c r="Y518" s="37"/>
      <c r="Z518" s="37"/>
      <c r="AA518" s="37"/>
      <c r="AB518" s="203"/>
      <c r="AC518" s="204"/>
      <c r="AD518" s="185"/>
      <c r="AE518" s="186"/>
      <c r="AF518" s="187"/>
      <c r="AG518" s="188"/>
      <c r="AH518" s="37"/>
    </row>
    <row r="519" spans="18:34">
      <c r="R519" s="205"/>
      <c r="S519" s="37"/>
      <c r="T519" s="199"/>
      <c r="U519" s="37"/>
      <c r="V519" s="37"/>
      <c r="W519" s="37"/>
      <c r="X519" s="37"/>
      <c r="Y519" s="37"/>
      <c r="Z519" s="37"/>
      <c r="AA519" s="37"/>
      <c r="AB519" s="203"/>
      <c r="AC519" s="204"/>
      <c r="AD519" s="185"/>
      <c r="AE519" s="186"/>
      <c r="AF519" s="187"/>
      <c r="AG519" s="188"/>
      <c r="AH519" s="37"/>
    </row>
    <row r="520" spans="18:34">
      <c r="R520" s="205"/>
      <c r="S520" s="37"/>
      <c r="T520" s="199"/>
      <c r="U520" s="37"/>
      <c r="V520" s="37"/>
      <c r="W520" s="37"/>
      <c r="X520" s="37"/>
      <c r="Y520" s="37"/>
      <c r="Z520" s="37"/>
      <c r="AA520" s="37"/>
      <c r="AB520" s="203"/>
      <c r="AC520" s="204"/>
      <c r="AD520" s="185"/>
      <c r="AE520" s="186"/>
      <c r="AF520" s="187"/>
      <c r="AG520" s="188"/>
      <c r="AH520" s="37"/>
    </row>
    <row r="521" spans="18:34">
      <c r="R521" s="205"/>
      <c r="S521" s="37"/>
      <c r="T521" s="199"/>
      <c r="U521" s="37"/>
      <c r="V521" s="37"/>
      <c r="W521" s="37"/>
      <c r="X521" s="37"/>
      <c r="Y521" s="37"/>
      <c r="Z521" s="37"/>
      <c r="AA521" s="37"/>
      <c r="AB521" s="203"/>
      <c r="AC521" s="204"/>
      <c r="AD521" s="185"/>
      <c r="AE521" s="186"/>
      <c r="AF521" s="187"/>
      <c r="AG521" s="188"/>
      <c r="AH521" s="37"/>
    </row>
    <row r="522" spans="18:34">
      <c r="R522" s="205"/>
      <c r="S522" s="37"/>
      <c r="T522" s="199"/>
      <c r="U522" s="37"/>
      <c r="V522" s="37"/>
      <c r="W522" s="37"/>
      <c r="X522" s="37"/>
      <c r="Y522" s="37"/>
      <c r="Z522" s="37"/>
      <c r="AA522" s="37"/>
      <c r="AB522" s="203"/>
      <c r="AC522" s="204"/>
      <c r="AD522" s="185"/>
      <c r="AE522" s="186"/>
      <c r="AF522" s="187"/>
      <c r="AG522" s="188"/>
      <c r="AH522" s="37"/>
    </row>
    <row r="523" spans="18:34">
      <c r="R523" s="205"/>
      <c r="S523" s="37"/>
      <c r="T523" s="199"/>
      <c r="U523" s="37"/>
      <c r="V523" s="37"/>
      <c r="W523" s="37"/>
      <c r="X523" s="37"/>
      <c r="Y523" s="37"/>
      <c r="Z523" s="37"/>
      <c r="AA523" s="37"/>
      <c r="AB523" s="203"/>
      <c r="AC523" s="204"/>
      <c r="AD523" s="185"/>
      <c r="AE523" s="186"/>
      <c r="AF523" s="187"/>
      <c r="AG523" s="188"/>
      <c r="AH523" s="37"/>
    </row>
    <row r="524" spans="18:34">
      <c r="R524" s="205"/>
      <c r="S524" s="37"/>
      <c r="T524" s="199"/>
      <c r="U524" s="37"/>
      <c r="V524" s="37"/>
      <c r="W524" s="37"/>
      <c r="X524" s="37"/>
      <c r="Y524" s="37"/>
      <c r="Z524" s="37"/>
      <c r="AA524" s="37"/>
      <c r="AB524" s="203"/>
      <c r="AC524" s="204"/>
      <c r="AD524" s="185"/>
      <c r="AE524" s="186"/>
      <c r="AF524" s="187"/>
      <c r="AG524" s="188"/>
      <c r="AH524" s="37"/>
    </row>
    <row r="525" spans="18:34">
      <c r="R525" s="205"/>
      <c r="S525" s="37"/>
      <c r="T525" s="199"/>
      <c r="U525" s="37"/>
      <c r="V525" s="37"/>
      <c r="W525" s="37"/>
      <c r="X525" s="37"/>
      <c r="Y525" s="37"/>
      <c r="Z525" s="37"/>
      <c r="AA525" s="37"/>
      <c r="AB525" s="203"/>
      <c r="AC525" s="204"/>
      <c r="AD525" s="185"/>
      <c r="AE525" s="186"/>
      <c r="AF525" s="187"/>
      <c r="AG525" s="188"/>
      <c r="AH525" s="37"/>
    </row>
    <row r="526" spans="18:34">
      <c r="R526" s="205"/>
      <c r="S526" s="37"/>
      <c r="T526" s="199"/>
      <c r="U526" s="37"/>
      <c r="V526" s="37"/>
      <c r="W526" s="37"/>
      <c r="X526" s="37"/>
      <c r="Y526" s="37"/>
      <c r="Z526" s="37"/>
      <c r="AA526" s="37"/>
      <c r="AB526" s="203"/>
      <c r="AC526" s="204"/>
      <c r="AD526" s="185"/>
      <c r="AE526" s="186"/>
      <c r="AF526" s="187"/>
      <c r="AG526" s="188"/>
      <c r="AH526" s="37"/>
    </row>
    <row r="527" spans="18:34">
      <c r="R527" s="205"/>
      <c r="S527" s="37"/>
      <c r="T527" s="199"/>
      <c r="U527" s="37"/>
      <c r="V527" s="37"/>
      <c r="W527" s="37"/>
      <c r="X527" s="37"/>
      <c r="Y527" s="37"/>
      <c r="Z527" s="37"/>
      <c r="AA527" s="37"/>
      <c r="AB527" s="203"/>
      <c r="AC527" s="204"/>
      <c r="AD527" s="185"/>
      <c r="AE527" s="186"/>
      <c r="AF527" s="187"/>
      <c r="AG527" s="188"/>
      <c r="AH527" s="37"/>
    </row>
    <row r="528" spans="18:34">
      <c r="R528" s="205"/>
      <c r="S528" s="37"/>
      <c r="T528" s="199"/>
      <c r="U528" s="37"/>
      <c r="V528" s="37"/>
      <c r="W528" s="37"/>
      <c r="X528" s="37"/>
      <c r="Y528" s="37"/>
      <c r="Z528" s="37"/>
      <c r="AA528" s="37"/>
      <c r="AB528" s="203"/>
      <c r="AC528" s="204"/>
      <c r="AD528" s="185"/>
      <c r="AE528" s="186"/>
      <c r="AF528" s="187"/>
      <c r="AG528" s="188"/>
      <c r="AH528" s="37"/>
    </row>
    <row r="529" spans="18:34">
      <c r="R529" s="205"/>
      <c r="S529" s="37"/>
      <c r="T529" s="199"/>
      <c r="U529" s="37"/>
      <c r="V529" s="37"/>
      <c r="W529" s="37"/>
      <c r="X529" s="37"/>
      <c r="Y529" s="37"/>
      <c r="Z529" s="37"/>
      <c r="AA529" s="37"/>
      <c r="AB529" s="203"/>
      <c r="AC529" s="204"/>
      <c r="AD529" s="185"/>
      <c r="AE529" s="186"/>
      <c r="AF529" s="187"/>
      <c r="AG529" s="188"/>
      <c r="AH529" s="37"/>
    </row>
    <row r="530" spans="18:34">
      <c r="R530" s="205"/>
      <c r="S530" s="37"/>
      <c r="T530" s="199"/>
      <c r="U530" s="37"/>
      <c r="V530" s="37"/>
      <c r="W530" s="37"/>
      <c r="X530" s="37"/>
      <c r="Y530" s="37"/>
      <c r="Z530" s="37"/>
      <c r="AA530" s="37"/>
      <c r="AB530" s="203"/>
      <c r="AC530" s="204"/>
      <c r="AD530" s="185"/>
      <c r="AE530" s="186"/>
      <c r="AF530" s="187"/>
      <c r="AG530" s="188"/>
      <c r="AH530" s="37"/>
    </row>
    <row r="531" spans="18:34">
      <c r="R531" s="205"/>
      <c r="S531" s="37"/>
      <c r="T531" s="199"/>
      <c r="U531" s="37"/>
      <c r="V531" s="37"/>
      <c r="W531" s="37"/>
      <c r="X531" s="37"/>
      <c r="Y531" s="37"/>
      <c r="Z531" s="37"/>
      <c r="AA531" s="37"/>
      <c r="AB531" s="203"/>
      <c r="AC531" s="204"/>
      <c r="AD531" s="185"/>
      <c r="AE531" s="186"/>
      <c r="AF531" s="187"/>
      <c r="AG531" s="188"/>
      <c r="AH531" s="37"/>
    </row>
    <row r="532" spans="18:34">
      <c r="R532" s="205"/>
      <c r="S532" s="37"/>
      <c r="T532" s="199"/>
      <c r="U532" s="37"/>
      <c r="V532" s="37"/>
      <c r="W532" s="37"/>
      <c r="X532" s="37"/>
      <c r="Y532" s="37"/>
      <c r="Z532" s="37"/>
      <c r="AA532" s="37"/>
      <c r="AB532" s="203"/>
      <c r="AC532" s="204"/>
      <c r="AD532" s="185"/>
      <c r="AE532" s="186"/>
      <c r="AF532" s="187"/>
      <c r="AG532" s="188"/>
      <c r="AH532" s="37"/>
    </row>
    <row r="533" spans="18:34">
      <c r="R533" s="205"/>
      <c r="S533" s="37"/>
      <c r="T533" s="199"/>
      <c r="U533" s="37"/>
      <c r="V533" s="37"/>
      <c r="W533" s="37"/>
      <c r="X533" s="37"/>
      <c r="Y533" s="37"/>
      <c r="Z533" s="37"/>
      <c r="AA533" s="37"/>
      <c r="AB533" s="203"/>
      <c r="AC533" s="204"/>
      <c r="AD533" s="185"/>
      <c r="AE533" s="186"/>
      <c r="AF533" s="187"/>
      <c r="AG533" s="188"/>
      <c r="AH533" s="37"/>
    </row>
    <row r="534" spans="18:34">
      <c r="R534" s="205"/>
      <c r="S534" s="37"/>
      <c r="T534" s="199"/>
      <c r="U534" s="37"/>
      <c r="V534" s="37"/>
      <c r="W534" s="37"/>
      <c r="X534" s="37"/>
      <c r="Y534" s="37"/>
      <c r="Z534" s="37"/>
      <c r="AA534" s="37"/>
      <c r="AB534" s="203"/>
      <c r="AC534" s="204"/>
      <c r="AD534" s="185"/>
      <c r="AE534" s="186"/>
      <c r="AF534" s="187"/>
      <c r="AG534" s="188"/>
      <c r="AH534" s="37"/>
    </row>
    <row r="535" spans="18:34">
      <c r="R535" s="205"/>
      <c r="S535" s="37"/>
      <c r="T535" s="199"/>
      <c r="U535" s="37"/>
      <c r="V535" s="37"/>
      <c r="W535" s="37"/>
      <c r="X535" s="37"/>
      <c r="Y535" s="37"/>
      <c r="Z535" s="37"/>
      <c r="AA535" s="37"/>
      <c r="AB535" s="203"/>
      <c r="AC535" s="204"/>
      <c r="AD535" s="185"/>
      <c r="AE535" s="186"/>
      <c r="AF535" s="187"/>
      <c r="AG535" s="188"/>
      <c r="AH535" s="37"/>
    </row>
    <row r="536" spans="18:34">
      <c r="R536" s="205"/>
      <c r="S536" s="37"/>
      <c r="T536" s="199"/>
      <c r="U536" s="37"/>
      <c r="V536" s="37"/>
      <c r="W536" s="37"/>
      <c r="X536" s="37"/>
      <c r="Y536" s="37"/>
      <c r="Z536" s="37"/>
      <c r="AA536" s="37"/>
      <c r="AB536" s="203"/>
      <c r="AC536" s="204"/>
      <c r="AD536" s="185"/>
      <c r="AE536" s="186"/>
      <c r="AF536" s="187"/>
      <c r="AG536" s="188"/>
      <c r="AH536" s="37"/>
    </row>
    <row r="537" spans="18:34">
      <c r="R537" s="205"/>
      <c r="S537" s="37"/>
      <c r="T537" s="199"/>
      <c r="U537" s="37"/>
      <c r="V537" s="37"/>
      <c r="W537" s="37"/>
      <c r="X537" s="37"/>
      <c r="Y537" s="37"/>
      <c r="Z537" s="37"/>
      <c r="AA537" s="37"/>
      <c r="AB537" s="203"/>
      <c r="AC537" s="204"/>
      <c r="AD537" s="185"/>
      <c r="AE537" s="186"/>
      <c r="AF537" s="187"/>
      <c r="AG537" s="188"/>
      <c r="AH537" s="37"/>
    </row>
    <row r="538" spans="18:34">
      <c r="R538" s="205"/>
      <c r="S538" s="37"/>
      <c r="T538" s="199"/>
      <c r="U538" s="37"/>
      <c r="V538" s="37"/>
      <c r="W538" s="37"/>
      <c r="X538" s="37"/>
      <c r="Y538" s="37"/>
      <c r="Z538" s="37"/>
      <c r="AA538" s="37"/>
      <c r="AB538" s="203"/>
      <c r="AC538" s="204"/>
      <c r="AD538" s="185"/>
      <c r="AE538" s="186"/>
      <c r="AF538" s="187"/>
      <c r="AG538" s="188"/>
      <c r="AH538" s="37"/>
    </row>
    <row r="539" spans="18:34">
      <c r="R539" s="205"/>
      <c r="S539" s="37"/>
      <c r="T539" s="199"/>
      <c r="U539" s="37"/>
      <c r="V539" s="37"/>
      <c r="W539" s="37"/>
      <c r="X539" s="37"/>
      <c r="Y539" s="37"/>
      <c r="Z539" s="37"/>
      <c r="AA539" s="37"/>
      <c r="AB539" s="203"/>
      <c r="AC539" s="204"/>
      <c r="AD539" s="185"/>
      <c r="AE539" s="186"/>
      <c r="AF539" s="187"/>
      <c r="AG539" s="188"/>
      <c r="AH539" s="37"/>
    </row>
    <row r="540" spans="18:34">
      <c r="R540" s="205"/>
      <c r="S540" s="37"/>
      <c r="T540" s="199"/>
      <c r="U540" s="37"/>
      <c r="V540" s="37"/>
      <c r="W540" s="37"/>
      <c r="X540" s="37"/>
      <c r="Y540" s="37"/>
      <c r="Z540" s="37"/>
      <c r="AA540" s="37"/>
      <c r="AB540" s="203"/>
      <c r="AC540" s="204"/>
      <c r="AD540" s="185"/>
      <c r="AE540" s="186"/>
      <c r="AF540" s="187"/>
      <c r="AG540" s="188"/>
      <c r="AH540" s="37"/>
    </row>
  </sheetData>
  <autoFilter ref="A1:BQ332"/>
  <mergeCells count="2091">
    <mergeCell ref="V363:V364"/>
    <mergeCell ref="X363:X364"/>
    <mergeCell ref="V365:V366"/>
    <mergeCell ref="V367:V368"/>
    <mergeCell ref="V369:V370"/>
    <mergeCell ref="R357:R358"/>
    <mergeCell ref="V357:V358"/>
    <mergeCell ref="X357:X358"/>
    <mergeCell ref="V359:V360"/>
    <mergeCell ref="X359:X360"/>
    <mergeCell ref="V361:V362"/>
    <mergeCell ref="X361:X362"/>
    <mergeCell ref="R353:R354"/>
    <mergeCell ref="V353:V354"/>
    <mergeCell ref="X353:X354"/>
    <mergeCell ref="R355:R356"/>
    <mergeCell ref="V355:V356"/>
    <mergeCell ref="X355:X356"/>
    <mergeCell ref="V335:V336"/>
    <mergeCell ref="W335:W336"/>
    <mergeCell ref="X335:X336"/>
    <mergeCell ref="R349:R350"/>
    <mergeCell ref="V349:V350"/>
    <mergeCell ref="X349:X350"/>
    <mergeCell ref="R351:R352"/>
    <mergeCell ref="V351:V352"/>
    <mergeCell ref="X351:X352"/>
    <mergeCell ref="R345:R346"/>
    <mergeCell ref="V345:V346"/>
    <mergeCell ref="X345:X346"/>
    <mergeCell ref="AA345:AA346"/>
    <mergeCell ref="R347:R348"/>
    <mergeCell ref="V347:V348"/>
    <mergeCell ref="X347:X348"/>
    <mergeCell ref="R341:R342"/>
    <mergeCell ref="V341:V342"/>
    <mergeCell ref="X341:X342"/>
    <mergeCell ref="AA341:AA342"/>
    <mergeCell ref="R343:R344"/>
    <mergeCell ref="V343:V344"/>
    <mergeCell ref="X343:X344"/>
    <mergeCell ref="AA343:AA344"/>
    <mergeCell ref="R333:R334"/>
    <mergeCell ref="S333:S334"/>
    <mergeCell ref="U333:U334"/>
    <mergeCell ref="V333:V334"/>
    <mergeCell ref="W333:W334"/>
    <mergeCell ref="X333:X334"/>
    <mergeCell ref="Y333:Y334"/>
    <mergeCell ref="AA333:AA334"/>
    <mergeCell ref="AB333:AB334"/>
    <mergeCell ref="AA337:AA338"/>
    <mergeCell ref="AB337:AB338"/>
    <mergeCell ref="R339:R340"/>
    <mergeCell ref="U339:U340"/>
    <mergeCell ref="V339:V340"/>
    <mergeCell ref="W339:W340"/>
    <mergeCell ref="X339:X340"/>
    <mergeCell ref="Y339:Y340"/>
    <mergeCell ref="AA339:AA340"/>
    <mergeCell ref="AB339:AB340"/>
    <mergeCell ref="Y335:Y336"/>
    <mergeCell ref="AA335:AA336"/>
    <mergeCell ref="AB335:AB336"/>
    <mergeCell ref="R337:R338"/>
    <mergeCell ref="S337:S338"/>
    <mergeCell ref="U337:U338"/>
    <mergeCell ref="V337:V338"/>
    <mergeCell ref="W337:W338"/>
    <mergeCell ref="X337:X338"/>
    <mergeCell ref="Y337:Y338"/>
    <mergeCell ref="R335:R336"/>
    <mergeCell ref="S335:S336"/>
    <mergeCell ref="U335:U336"/>
    <mergeCell ref="AA329:AA330"/>
    <mergeCell ref="AB329:AB330"/>
    <mergeCell ref="AC329:AC330"/>
    <mergeCell ref="AC327:AC328"/>
    <mergeCell ref="R329:R330"/>
    <mergeCell ref="S329:S330"/>
    <mergeCell ref="T329:T330"/>
    <mergeCell ref="U329:U330"/>
    <mergeCell ref="V329:V330"/>
    <mergeCell ref="W329:W330"/>
    <mergeCell ref="X329:X330"/>
    <mergeCell ref="Y329:Y330"/>
    <mergeCell ref="Z329:Z330"/>
    <mergeCell ref="W327:W328"/>
    <mergeCell ref="X327:X328"/>
    <mergeCell ref="Y327:Y328"/>
    <mergeCell ref="Z327:Z328"/>
    <mergeCell ref="AA327:AA328"/>
    <mergeCell ref="AB327:AB328"/>
    <mergeCell ref="Y325:Y326"/>
    <mergeCell ref="Z325:Z326"/>
    <mergeCell ref="AA325:AA326"/>
    <mergeCell ref="AB325:AB326"/>
    <mergeCell ref="AC325:AC326"/>
    <mergeCell ref="R327:R328"/>
    <mergeCell ref="S327:S328"/>
    <mergeCell ref="T327:T328"/>
    <mergeCell ref="U327:U328"/>
    <mergeCell ref="V327:V328"/>
    <mergeCell ref="AA323:AA324"/>
    <mergeCell ref="AB323:AB324"/>
    <mergeCell ref="AC323:AC324"/>
    <mergeCell ref="R325:R326"/>
    <mergeCell ref="S325:S326"/>
    <mergeCell ref="T325:T326"/>
    <mergeCell ref="U325:U326"/>
    <mergeCell ref="V325:V326"/>
    <mergeCell ref="W325:W326"/>
    <mergeCell ref="X325:X326"/>
    <mergeCell ref="AC321:AC322"/>
    <mergeCell ref="R323:R324"/>
    <mergeCell ref="S323:S324"/>
    <mergeCell ref="T323:T324"/>
    <mergeCell ref="U323:U324"/>
    <mergeCell ref="V323:V324"/>
    <mergeCell ref="W323:W324"/>
    <mergeCell ref="X323:X324"/>
    <mergeCell ref="Y323:Y324"/>
    <mergeCell ref="Z323:Z324"/>
    <mergeCell ref="W321:W322"/>
    <mergeCell ref="X321:X322"/>
    <mergeCell ref="Y321:Y322"/>
    <mergeCell ref="Z321:Z322"/>
    <mergeCell ref="AA321:AA322"/>
    <mergeCell ref="AB321:AB322"/>
    <mergeCell ref="Y319:Y320"/>
    <mergeCell ref="Z319:Z320"/>
    <mergeCell ref="AA319:AA320"/>
    <mergeCell ref="AB319:AB320"/>
    <mergeCell ref="AC319:AC320"/>
    <mergeCell ref="R321:R322"/>
    <mergeCell ref="S321:S322"/>
    <mergeCell ref="T321:T322"/>
    <mergeCell ref="U321:U322"/>
    <mergeCell ref="V321:V322"/>
    <mergeCell ref="AA317:AA318"/>
    <mergeCell ref="AB317:AB318"/>
    <mergeCell ref="AC317:AC318"/>
    <mergeCell ref="R319:R320"/>
    <mergeCell ref="S319:S320"/>
    <mergeCell ref="T319:T320"/>
    <mergeCell ref="U319:U320"/>
    <mergeCell ref="V319:V320"/>
    <mergeCell ref="W319:W320"/>
    <mergeCell ref="X319:X320"/>
    <mergeCell ref="AC315:AC316"/>
    <mergeCell ref="R317:R318"/>
    <mergeCell ref="S317:S318"/>
    <mergeCell ref="T317:T318"/>
    <mergeCell ref="U317:U318"/>
    <mergeCell ref="V317:V318"/>
    <mergeCell ref="W317:W318"/>
    <mergeCell ref="X317:X318"/>
    <mergeCell ref="Y317:Y318"/>
    <mergeCell ref="Z317:Z318"/>
    <mergeCell ref="W315:W316"/>
    <mergeCell ref="X315:X316"/>
    <mergeCell ref="Y315:Y316"/>
    <mergeCell ref="Z315:Z316"/>
    <mergeCell ref="AA315:AA316"/>
    <mergeCell ref="AB315:AB316"/>
    <mergeCell ref="Y313:Y314"/>
    <mergeCell ref="Z313:Z314"/>
    <mergeCell ref="AA313:AA314"/>
    <mergeCell ref="AB313:AB314"/>
    <mergeCell ref="AC313:AC314"/>
    <mergeCell ref="R315:R316"/>
    <mergeCell ref="S315:S316"/>
    <mergeCell ref="T315:T316"/>
    <mergeCell ref="U315:U316"/>
    <mergeCell ref="V315:V316"/>
    <mergeCell ref="AA311:AA312"/>
    <mergeCell ref="AB311:AB312"/>
    <mergeCell ref="AC311:AC312"/>
    <mergeCell ref="R313:R314"/>
    <mergeCell ref="S313:S314"/>
    <mergeCell ref="T313:T314"/>
    <mergeCell ref="U313:U314"/>
    <mergeCell ref="V313:V314"/>
    <mergeCell ref="W313:W314"/>
    <mergeCell ref="X313:X314"/>
    <mergeCell ref="AC309:AC310"/>
    <mergeCell ref="R311:R312"/>
    <mergeCell ref="S311:S312"/>
    <mergeCell ref="T311:T312"/>
    <mergeCell ref="U311:U312"/>
    <mergeCell ref="V311:V312"/>
    <mergeCell ref="W311:W312"/>
    <mergeCell ref="X311:X312"/>
    <mergeCell ref="Y311:Y312"/>
    <mergeCell ref="Z311:Z312"/>
    <mergeCell ref="W309:W310"/>
    <mergeCell ref="X309:X310"/>
    <mergeCell ref="Y309:Y310"/>
    <mergeCell ref="Z309:Z310"/>
    <mergeCell ref="AA309:AA310"/>
    <mergeCell ref="AB309:AB310"/>
    <mergeCell ref="Y307:Y308"/>
    <mergeCell ref="Z307:Z308"/>
    <mergeCell ref="AA307:AA308"/>
    <mergeCell ref="AB307:AB308"/>
    <mergeCell ref="AC307:AC308"/>
    <mergeCell ref="R309:R310"/>
    <mergeCell ref="S309:S310"/>
    <mergeCell ref="T309:T310"/>
    <mergeCell ref="U309:U310"/>
    <mergeCell ref="V309:V310"/>
    <mergeCell ref="AA305:AA306"/>
    <mergeCell ref="AB305:AB306"/>
    <mergeCell ref="AC305:AC306"/>
    <mergeCell ref="R307:R308"/>
    <mergeCell ref="S307:S308"/>
    <mergeCell ref="T307:T308"/>
    <mergeCell ref="U307:U308"/>
    <mergeCell ref="V307:V308"/>
    <mergeCell ref="W307:W308"/>
    <mergeCell ref="X307:X308"/>
    <mergeCell ref="AC303:AC304"/>
    <mergeCell ref="R305:R306"/>
    <mergeCell ref="S305:S306"/>
    <mergeCell ref="T305:T306"/>
    <mergeCell ref="U305:U306"/>
    <mergeCell ref="V305:V306"/>
    <mergeCell ref="W305:W306"/>
    <mergeCell ref="X305:X306"/>
    <mergeCell ref="Y305:Y306"/>
    <mergeCell ref="Z305:Z306"/>
    <mergeCell ref="W303:W304"/>
    <mergeCell ref="X303:X304"/>
    <mergeCell ref="Y303:Y304"/>
    <mergeCell ref="Z303:Z304"/>
    <mergeCell ref="AA303:AA304"/>
    <mergeCell ref="AB303:AB304"/>
    <mergeCell ref="Y301:Y302"/>
    <mergeCell ref="Z301:Z302"/>
    <mergeCell ref="AA301:AA302"/>
    <mergeCell ref="AB301:AB302"/>
    <mergeCell ref="AC301:AC302"/>
    <mergeCell ref="R303:R304"/>
    <mergeCell ref="S303:S304"/>
    <mergeCell ref="T303:T304"/>
    <mergeCell ref="U303:U304"/>
    <mergeCell ref="V303:V304"/>
    <mergeCell ref="AA299:AA300"/>
    <mergeCell ref="AB299:AB300"/>
    <mergeCell ref="AC299:AC300"/>
    <mergeCell ref="R301:R302"/>
    <mergeCell ref="S301:S302"/>
    <mergeCell ref="T301:T302"/>
    <mergeCell ref="U301:U302"/>
    <mergeCell ref="V301:V302"/>
    <mergeCell ref="W301:W302"/>
    <mergeCell ref="X301:X302"/>
    <mergeCell ref="AC297:AC298"/>
    <mergeCell ref="R299:R300"/>
    <mergeCell ref="S299:S300"/>
    <mergeCell ref="T299:T300"/>
    <mergeCell ref="U299:U300"/>
    <mergeCell ref="V299:V300"/>
    <mergeCell ref="W299:W300"/>
    <mergeCell ref="X299:X300"/>
    <mergeCell ref="Y299:Y300"/>
    <mergeCell ref="Z299:Z300"/>
    <mergeCell ref="W297:W298"/>
    <mergeCell ref="X297:X298"/>
    <mergeCell ref="Y297:Y298"/>
    <mergeCell ref="Z297:Z298"/>
    <mergeCell ref="AA297:AA298"/>
    <mergeCell ref="AB297:AB298"/>
    <mergeCell ref="Y295:Y296"/>
    <mergeCell ref="Z295:Z296"/>
    <mergeCell ref="AA295:AA296"/>
    <mergeCell ref="AB295:AB296"/>
    <mergeCell ref="AC295:AC296"/>
    <mergeCell ref="R297:R298"/>
    <mergeCell ref="S297:S298"/>
    <mergeCell ref="T297:T298"/>
    <mergeCell ref="U297:U298"/>
    <mergeCell ref="V297:V298"/>
    <mergeCell ref="AA293:AA294"/>
    <mergeCell ref="AB293:AB294"/>
    <mergeCell ref="AC293:AC294"/>
    <mergeCell ref="R295:R296"/>
    <mergeCell ref="S295:S296"/>
    <mergeCell ref="T295:T296"/>
    <mergeCell ref="U295:U296"/>
    <mergeCell ref="V295:V296"/>
    <mergeCell ref="W295:W296"/>
    <mergeCell ref="X295:X296"/>
    <mergeCell ref="AC291:AC292"/>
    <mergeCell ref="R293:R294"/>
    <mergeCell ref="S293:S294"/>
    <mergeCell ref="T293:T294"/>
    <mergeCell ref="U293:U294"/>
    <mergeCell ref="V293:V294"/>
    <mergeCell ref="W293:W294"/>
    <mergeCell ref="X293:X294"/>
    <mergeCell ref="Y293:Y294"/>
    <mergeCell ref="Z293:Z294"/>
    <mergeCell ref="W291:W292"/>
    <mergeCell ref="X291:X292"/>
    <mergeCell ref="Y291:Y292"/>
    <mergeCell ref="Z291:Z292"/>
    <mergeCell ref="AA291:AA292"/>
    <mergeCell ref="AB291:AB292"/>
    <mergeCell ref="Y289:Y290"/>
    <mergeCell ref="Z289:Z290"/>
    <mergeCell ref="AA289:AA290"/>
    <mergeCell ref="AB289:AB290"/>
    <mergeCell ref="AC289:AC290"/>
    <mergeCell ref="R291:R292"/>
    <mergeCell ref="S291:S292"/>
    <mergeCell ref="T291:T292"/>
    <mergeCell ref="U291:U292"/>
    <mergeCell ref="V291:V292"/>
    <mergeCell ref="AA287:AA288"/>
    <mergeCell ref="AB287:AB288"/>
    <mergeCell ref="AC287:AC288"/>
    <mergeCell ref="R289:R290"/>
    <mergeCell ref="S289:S290"/>
    <mergeCell ref="T289:T290"/>
    <mergeCell ref="U289:U290"/>
    <mergeCell ref="V289:V290"/>
    <mergeCell ref="W289:W290"/>
    <mergeCell ref="X289:X290"/>
    <mergeCell ref="AC285:AC286"/>
    <mergeCell ref="R287:R288"/>
    <mergeCell ref="S287:S288"/>
    <mergeCell ref="T287:T288"/>
    <mergeCell ref="U287:U288"/>
    <mergeCell ref="V287:V288"/>
    <mergeCell ref="W287:W288"/>
    <mergeCell ref="X287:X288"/>
    <mergeCell ref="Y287:Y288"/>
    <mergeCell ref="Z287:Z288"/>
    <mergeCell ref="W285:W286"/>
    <mergeCell ref="X285:X286"/>
    <mergeCell ref="Y285:Y286"/>
    <mergeCell ref="Z285:Z286"/>
    <mergeCell ref="AA285:AA286"/>
    <mergeCell ref="AB285:AB286"/>
    <mergeCell ref="Y283:Y284"/>
    <mergeCell ref="Z283:Z284"/>
    <mergeCell ref="AA283:AA284"/>
    <mergeCell ref="AB283:AB284"/>
    <mergeCell ref="AC283:AC284"/>
    <mergeCell ref="R285:R286"/>
    <mergeCell ref="S285:S286"/>
    <mergeCell ref="T285:T286"/>
    <mergeCell ref="U285:U286"/>
    <mergeCell ref="V285:V286"/>
    <mergeCell ref="AA281:AA282"/>
    <mergeCell ref="AB281:AB282"/>
    <mergeCell ref="AC281:AC282"/>
    <mergeCell ref="R283:R284"/>
    <mergeCell ref="S283:S284"/>
    <mergeCell ref="T283:T284"/>
    <mergeCell ref="U283:U284"/>
    <mergeCell ref="V283:V284"/>
    <mergeCell ref="W283:W284"/>
    <mergeCell ref="X283:X284"/>
    <mergeCell ref="AC279:AC280"/>
    <mergeCell ref="R281:R282"/>
    <mergeCell ref="S281:S282"/>
    <mergeCell ref="T281:T282"/>
    <mergeCell ref="U281:U282"/>
    <mergeCell ref="V281:V282"/>
    <mergeCell ref="W281:W282"/>
    <mergeCell ref="X281:X282"/>
    <mergeCell ref="Y281:Y282"/>
    <mergeCell ref="Z281:Z282"/>
    <mergeCell ref="W279:W280"/>
    <mergeCell ref="X279:X280"/>
    <mergeCell ref="Y279:Y280"/>
    <mergeCell ref="Z279:Z280"/>
    <mergeCell ref="AA279:AA280"/>
    <mergeCell ref="AB279:AB280"/>
    <mergeCell ref="Y277:Y278"/>
    <mergeCell ref="Z277:Z278"/>
    <mergeCell ref="AA277:AA278"/>
    <mergeCell ref="AB277:AB278"/>
    <mergeCell ref="AC277:AC278"/>
    <mergeCell ref="R279:R280"/>
    <mergeCell ref="S279:S280"/>
    <mergeCell ref="T279:T280"/>
    <mergeCell ref="U279:U280"/>
    <mergeCell ref="V279:V280"/>
    <mergeCell ref="AA275:AA276"/>
    <mergeCell ref="AB275:AB276"/>
    <mergeCell ref="AC275:AC276"/>
    <mergeCell ref="R277:R278"/>
    <mergeCell ref="S277:S278"/>
    <mergeCell ref="T277:T278"/>
    <mergeCell ref="U277:U278"/>
    <mergeCell ref="V277:V278"/>
    <mergeCell ref="W277:W278"/>
    <mergeCell ref="X277:X278"/>
    <mergeCell ref="AC273:AC274"/>
    <mergeCell ref="R275:R276"/>
    <mergeCell ref="S275:S276"/>
    <mergeCell ref="T275:T276"/>
    <mergeCell ref="U275:U276"/>
    <mergeCell ref="V275:V276"/>
    <mergeCell ref="W275:W276"/>
    <mergeCell ref="X275:X276"/>
    <mergeCell ref="Y275:Y276"/>
    <mergeCell ref="Z275:Z276"/>
    <mergeCell ref="W273:W274"/>
    <mergeCell ref="X273:X274"/>
    <mergeCell ref="Y273:Y274"/>
    <mergeCell ref="Z273:Z274"/>
    <mergeCell ref="AA273:AA274"/>
    <mergeCell ref="AB273:AB274"/>
    <mergeCell ref="Y271:Y272"/>
    <mergeCell ref="Z271:Z272"/>
    <mergeCell ref="AA271:AA272"/>
    <mergeCell ref="AB271:AB272"/>
    <mergeCell ref="AC271:AC272"/>
    <mergeCell ref="R273:R274"/>
    <mergeCell ref="S273:S274"/>
    <mergeCell ref="T273:T274"/>
    <mergeCell ref="U273:U274"/>
    <mergeCell ref="V273:V274"/>
    <mergeCell ref="AA269:AA270"/>
    <mergeCell ref="AB269:AB270"/>
    <mergeCell ref="AC269:AC270"/>
    <mergeCell ref="R271:R272"/>
    <mergeCell ref="S271:S272"/>
    <mergeCell ref="T271:T272"/>
    <mergeCell ref="U271:U272"/>
    <mergeCell ref="V271:V272"/>
    <mergeCell ref="W271:W272"/>
    <mergeCell ref="X271:X272"/>
    <mergeCell ref="AC267:AC268"/>
    <mergeCell ref="R269:R270"/>
    <mergeCell ref="S269:S270"/>
    <mergeCell ref="T269:T270"/>
    <mergeCell ref="U269:U270"/>
    <mergeCell ref="V269:V270"/>
    <mergeCell ref="W269:W270"/>
    <mergeCell ref="X269:X270"/>
    <mergeCell ref="Y269:Y270"/>
    <mergeCell ref="Z269:Z270"/>
    <mergeCell ref="W267:W268"/>
    <mergeCell ref="X267:X268"/>
    <mergeCell ref="Y267:Y268"/>
    <mergeCell ref="Z267:Z268"/>
    <mergeCell ref="AA267:AA268"/>
    <mergeCell ref="AB267:AB268"/>
    <mergeCell ref="Y265:Y266"/>
    <mergeCell ref="Z265:Z266"/>
    <mergeCell ref="AA265:AA266"/>
    <mergeCell ref="AB265:AB266"/>
    <mergeCell ref="AC265:AC266"/>
    <mergeCell ref="R267:R268"/>
    <mergeCell ref="S267:S268"/>
    <mergeCell ref="T267:T268"/>
    <mergeCell ref="U267:U268"/>
    <mergeCell ref="V267:V268"/>
    <mergeCell ref="AA263:AA264"/>
    <mergeCell ref="AB263:AB264"/>
    <mergeCell ref="AC263:AC264"/>
    <mergeCell ref="R265:R266"/>
    <mergeCell ref="S265:S266"/>
    <mergeCell ref="T265:T266"/>
    <mergeCell ref="U265:U266"/>
    <mergeCell ref="V265:V266"/>
    <mergeCell ref="W265:W266"/>
    <mergeCell ref="X265:X266"/>
    <mergeCell ref="AC261:AC262"/>
    <mergeCell ref="R263:R264"/>
    <mergeCell ref="S263:S264"/>
    <mergeCell ref="T263:T264"/>
    <mergeCell ref="U263:U264"/>
    <mergeCell ref="V263:V264"/>
    <mergeCell ref="W263:W264"/>
    <mergeCell ref="X263:X264"/>
    <mergeCell ref="Y263:Y264"/>
    <mergeCell ref="Z263:Z264"/>
    <mergeCell ref="W261:W262"/>
    <mergeCell ref="X261:X262"/>
    <mergeCell ref="Y261:Y262"/>
    <mergeCell ref="Z261:Z262"/>
    <mergeCell ref="AA261:AA262"/>
    <mergeCell ref="AB261:AB262"/>
    <mergeCell ref="Y259:Y260"/>
    <mergeCell ref="Z259:Z260"/>
    <mergeCell ref="AA259:AA260"/>
    <mergeCell ref="AB259:AB260"/>
    <mergeCell ref="AC259:AC260"/>
    <mergeCell ref="R261:R262"/>
    <mergeCell ref="S261:S262"/>
    <mergeCell ref="T261:T262"/>
    <mergeCell ref="U261:U262"/>
    <mergeCell ref="V261:V262"/>
    <mergeCell ref="AA257:AA258"/>
    <mergeCell ref="AB257:AB258"/>
    <mergeCell ref="AC257:AC258"/>
    <mergeCell ref="R259:R260"/>
    <mergeCell ref="S259:S260"/>
    <mergeCell ref="T259:T260"/>
    <mergeCell ref="U259:U260"/>
    <mergeCell ref="V259:V260"/>
    <mergeCell ref="W259:W260"/>
    <mergeCell ref="X259:X260"/>
    <mergeCell ref="AC255:AC256"/>
    <mergeCell ref="R257:R258"/>
    <mergeCell ref="S257:S258"/>
    <mergeCell ref="T257:T258"/>
    <mergeCell ref="U257:U258"/>
    <mergeCell ref="V257:V258"/>
    <mergeCell ref="W257:W258"/>
    <mergeCell ref="X257:X258"/>
    <mergeCell ref="Y257:Y258"/>
    <mergeCell ref="Z257:Z258"/>
    <mergeCell ref="W255:W256"/>
    <mergeCell ref="X255:X256"/>
    <mergeCell ref="Y255:Y256"/>
    <mergeCell ref="Z255:Z256"/>
    <mergeCell ref="AA255:AA256"/>
    <mergeCell ref="AB255:AB256"/>
    <mergeCell ref="Y253:Y254"/>
    <mergeCell ref="Z253:Z254"/>
    <mergeCell ref="AA253:AA254"/>
    <mergeCell ref="AB253:AB254"/>
    <mergeCell ref="AC253:AC254"/>
    <mergeCell ref="R255:R256"/>
    <mergeCell ref="S255:S256"/>
    <mergeCell ref="T255:T256"/>
    <mergeCell ref="U255:U256"/>
    <mergeCell ref="V255:V256"/>
    <mergeCell ref="AA251:AA252"/>
    <mergeCell ref="AB251:AB252"/>
    <mergeCell ref="AC251:AC252"/>
    <mergeCell ref="R253:R254"/>
    <mergeCell ref="S253:S254"/>
    <mergeCell ref="T253:T254"/>
    <mergeCell ref="U253:U254"/>
    <mergeCell ref="V253:V254"/>
    <mergeCell ref="W253:W254"/>
    <mergeCell ref="X253:X254"/>
    <mergeCell ref="AC249:AC250"/>
    <mergeCell ref="R251:R252"/>
    <mergeCell ref="S251:S252"/>
    <mergeCell ref="T251:T252"/>
    <mergeCell ref="U251:U252"/>
    <mergeCell ref="V251:V252"/>
    <mergeCell ref="W251:W252"/>
    <mergeCell ref="X251:X252"/>
    <mergeCell ref="Y251:Y252"/>
    <mergeCell ref="Z251:Z252"/>
    <mergeCell ref="W249:W250"/>
    <mergeCell ref="X249:X250"/>
    <mergeCell ref="Y249:Y250"/>
    <mergeCell ref="Z249:Z250"/>
    <mergeCell ref="AA249:AA250"/>
    <mergeCell ref="AB249:AB250"/>
    <mergeCell ref="Y247:Y248"/>
    <mergeCell ref="Z247:Z248"/>
    <mergeCell ref="AA247:AA248"/>
    <mergeCell ref="AB247:AB248"/>
    <mergeCell ref="AC247:AC248"/>
    <mergeCell ref="R249:R250"/>
    <mergeCell ref="S249:S250"/>
    <mergeCell ref="T249:T250"/>
    <mergeCell ref="U249:U250"/>
    <mergeCell ref="V249:V250"/>
    <mergeCell ref="AA245:AA246"/>
    <mergeCell ref="AB245:AB246"/>
    <mergeCell ref="AC245:AC246"/>
    <mergeCell ref="R247:R248"/>
    <mergeCell ref="S247:S248"/>
    <mergeCell ref="T247:T248"/>
    <mergeCell ref="U247:U248"/>
    <mergeCell ref="V247:V248"/>
    <mergeCell ref="W247:W248"/>
    <mergeCell ref="X247:X248"/>
    <mergeCell ref="AC243:AC244"/>
    <mergeCell ref="R245:R246"/>
    <mergeCell ref="S245:S246"/>
    <mergeCell ref="T245:T246"/>
    <mergeCell ref="U245:U246"/>
    <mergeCell ref="V245:V246"/>
    <mergeCell ref="W245:W246"/>
    <mergeCell ref="X245:X246"/>
    <mergeCell ref="Y245:Y246"/>
    <mergeCell ref="Z245:Z246"/>
    <mergeCell ref="W243:W244"/>
    <mergeCell ref="X243:X244"/>
    <mergeCell ref="Y243:Y244"/>
    <mergeCell ref="Z243:Z244"/>
    <mergeCell ref="AA243:AA244"/>
    <mergeCell ref="AB243:AB244"/>
    <mergeCell ref="Y241:Y242"/>
    <mergeCell ref="Z241:Z242"/>
    <mergeCell ref="AA241:AA242"/>
    <mergeCell ref="AB241:AB242"/>
    <mergeCell ref="AC241:AC242"/>
    <mergeCell ref="R243:R244"/>
    <mergeCell ref="S243:S244"/>
    <mergeCell ref="T243:T244"/>
    <mergeCell ref="U243:U244"/>
    <mergeCell ref="V243:V244"/>
    <mergeCell ref="AA239:AA240"/>
    <mergeCell ref="AB239:AB240"/>
    <mergeCell ref="AC239:AC240"/>
    <mergeCell ref="R241:R242"/>
    <mergeCell ref="S241:S242"/>
    <mergeCell ref="T241:T242"/>
    <mergeCell ref="U241:U242"/>
    <mergeCell ref="V241:V242"/>
    <mergeCell ref="W241:W242"/>
    <mergeCell ref="X241:X242"/>
    <mergeCell ref="AC237:AC238"/>
    <mergeCell ref="R239:R240"/>
    <mergeCell ref="S239:S240"/>
    <mergeCell ref="T239:T240"/>
    <mergeCell ref="U239:U240"/>
    <mergeCell ref="V239:V240"/>
    <mergeCell ref="W239:W240"/>
    <mergeCell ref="X239:X240"/>
    <mergeCell ref="Y239:Y240"/>
    <mergeCell ref="Z239:Z240"/>
    <mergeCell ref="W237:W238"/>
    <mergeCell ref="X237:X238"/>
    <mergeCell ref="Y237:Y238"/>
    <mergeCell ref="Z237:Z238"/>
    <mergeCell ref="AA237:AA238"/>
    <mergeCell ref="AB237:AB238"/>
    <mergeCell ref="Y235:Y236"/>
    <mergeCell ref="Z235:Z236"/>
    <mergeCell ref="AA235:AA236"/>
    <mergeCell ref="AB235:AB236"/>
    <mergeCell ref="AC235:AC236"/>
    <mergeCell ref="R237:R238"/>
    <mergeCell ref="S237:S238"/>
    <mergeCell ref="T237:T238"/>
    <mergeCell ref="U237:U238"/>
    <mergeCell ref="V237:V238"/>
    <mergeCell ref="AA233:AA234"/>
    <mergeCell ref="AB233:AB234"/>
    <mergeCell ref="AC233:AC234"/>
    <mergeCell ref="R235:R236"/>
    <mergeCell ref="S235:S236"/>
    <mergeCell ref="T235:T236"/>
    <mergeCell ref="U235:U236"/>
    <mergeCell ref="V235:V236"/>
    <mergeCell ref="W235:W236"/>
    <mergeCell ref="X235:X236"/>
    <mergeCell ref="AC231:AC232"/>
    <mergeCell ref="R233:R234"/>
    <mergeCell ref="S233:S234"/>
    <mergeCell ref="T233:T234"/>
    <mergeCell ref="U233:U234"/>
    <mergeCell ref="V233:V234"/>
    <mergeCell ref="W233:W234"/>
    <mergeCell ref="X233:X234"/>
    <mergeCell ref="Y233:Y234"/>
    <mergeCell ref="Z233:Z234"/>
    <mergeCell ref="W231:W232"/>
    <mergeCell ref="X231:X232"/>
    <mergeCell ref="Y231:Y232"/>
    <mergeCell ref="Z231:Z232"/>
    <mergeCell ref="AA231:AA232"/>
    <mergeCell ref="AB231:AB232"/>
    <mergeCell ref="Y229:Y230"/>
    <mergeCell ref="Z229:Z230"/>
    <mergeCell ref="AA229:AA230"/>
    <mergeCell ref="AB229:AB230"/>
    <mergeCell ref="AC229:AC230"/>
    <mergeCell ref="R231:R232"/>
    <mergeCell ref="S231:S232"/>
    <mergeCell ref="T231:T232"/>
    <mergeCell ref="U231:U232"/>
    <mergeCell ref="V231:V232"/>
    <mergeCell ref="AA227:AA228"/>
    <mergeCell ref="AB227:AB228"/>
    <mergeCell ref="AC227:AC228"/>
    <mergeCell ref="R229:R230"/>
    <mergeCell ref="S229:S230"/>
    <mergeCell ref="T229:T230"/>
    <mergeCell ref="U229:U230"/>
    <mergeCell ref="V229:V230"/>
    <mergeCell ref="W229:W230"/>
    <mergeCell ref="X229:X230"/>
    <mergeCell ref="AC225:AC226"/>
    <mergeCell ref="R227:R228"/>
    <mergeCell ref="S227:S228"/>
    <mergeCell ref="T227:T228"/>
    <mergeCell ref="U227:U228"/>
    <mergeCell ref="V227:V228"/>
    <mergeCell ref="W227:W228"/>
    <mergeCell ref="X227:X228"/>
    <mergeCell ref="Y227:Y228"/>
    <mergeCell ref="Z227:Z228"/>
    <mergeCell ref="W225:W226"/>
    <mergeCell ref="X225:X226"/>
    <mergeCell ref="Y225:Y226"/>
    <mergeCell ref="Z225:Z226"/>
    <mergeCell ref="AA225:AA226"/>
    <mergeCell ref="AB225:AB226"/>
    <mergeCell ref="Y223:Y224"/>
    <mergeCell ref="Z223:Z224"/>
    <mergeCell ref="AA223:AA224"/>
    <mergeCell ref="AB223:AB224"/>
    <mergeCell ref="AC223:AC224"/>
    <mergeCell ref="R225:R226"/>
    <mergeCell ref="S225:S226"/>
    <mergeCell ref="T225:T226"/>
    <mergeCell ref="U225:U226"/>
    <mergeCell ref="V225:V226"/>
    <mergeCell ref="AA221:AA222"/>
    <mergeCell ref="AB221:AB222"/>
    <mergeCell ref="AC221:AC222"/>
    <mergeCell ref="R223:R224"/>
    <mergeCell ref="S223:S224"/>
    <mergeCell ref="T223:T224"/>
    <mergeCell ref="U223:U224"/>
    <mergeCell ref="V223:V224"/>
    <mergeCell ref="W223:W224"/>
    <mergeCell ref="X223:X224"/>
    <mergeCell ref="AC219:AC220"/>
    <mergeCell ref="R221:R222"/>
    <mergeCell ref="S221:S222"/>
    <mergeCell ref="T221:T222"/>
    <mergeCell ref="U221:U222"/>
    <mergeCell ref="V221:V222"/>
    <mergeCell ref="W221:W222"/>
    <mergeCell ref="X221:X222"/>
    <mergeCell ref="Y221:Y222"/>
    <mergeCell ref="Z221:Z222"/>
    <mergeCell ref="W219:W220"/>
    <mergeCell ref="X219:X220"/>
    <mergeCell ref="Y219:Y220"/>
    <mergeCell ref="Z219:Z220"/>
    <mergeCell ref="AA219:AA220"/>
    <mergeCell ref="AB219:AB220"/>
    <mergeCell ref="Y217:Y218"/>
    <mergeCell ref="Z217:Z218"/>
    <mergeCell ref="AA217:AA218"/>
    <mergeCell ref="AB217:AB218"/>
    <mergeCell ref="AC217:AC218"/>
    <mergeCell ref="R219:R220"/>
    <mergeCell ref="S219:S220"/>
    <mergeCell ref="T219:T220"/>
    <mergeCell ref="U219:U220"/>
    <mergeCell ref="V219:V220"/>
    <mergeCell ref="AA215:AA216"/>
    <mergeCell ref="AB215:AB216"/>
    <mergeCell ref="AC215:AC216"/>
    <mergeCell ref="R217:R218"/>
    <mergeCell ref="S217:S218"/>
    <mergeCell ref="T217:T218"/>
    <mergeCell ref="U217:U218"/>
    <mergeCell ref="V217:V218"/>
    <mergeCell ref="W217:W218"/>
    <mergeCell ref="X217:X218"/>
    <mergeCell ref="AC213:AC214"/>
    <mergeCell ref="R215:R216"/>
    <mergeCell ref="S215:S216"/>
    <mergeCell ref="T215:T216"/>
    <mergeCell ref="U215:U216"/>
    <mergeCell ref="V215:V216"/>
    <mergeCell ref="W215:W216"/>
    <mergeCell ref="X215:X216"/>
    <mergeCell ref="Y215:Y216"/>
    <mergeCell ref="Z215:Z216"/>
    <mergeCell ref="W213:W214"/>
    <mergeCell ref="X213:X214"/>
    <mergeCell ref="Y213:Y214"/>
    <mergeCell ref="Z213:Z214"/>
    <mergeCell ref="AA213:AA214"/>
    <mergeCell ref="AB213:AB214"/>
    <mergeCell ref="Y211:Y212"/>
    <mergeCell ref="Z211:Z212"/>
    <mergeCell ref="AA211:AA212"/>
    <mergeCell ref="AB211:AB212"/>
    <mergeCell ref="AC211:AC212"/>
    <mergeCell ref="R213:R214"/>
    <mergeCell ref="S213:S214"/>
    <mergeCell ref="T213:T214"/>
    <mergeCell ref="U213:U214"/>
    <mergeCell ref="V213:V214"/>
    <mergeCell ref="AA209:AA210"/>
    <mergeCell ref="AB209:AB210"/>
    <mergeCell ref="AC209:AC210"/>
    <mergeCell ref="R211:R212"/>
    <mergeCell ref="S211:S212"/>
    <mergeCell ref="T211:T212"/>
    <mergeCell ref="U211:U212"/>
    <mergeCell ref="V211:V212"/>
    <mergeCell ref="W211:W212"/>
    <mergeCell ref="X211:X212"/>
    <mergeCell ref="AC207:AC208"/>
    <mergeCell ref="R209:R210"/>
    <mergeCell ref="S209:S210"/>
    <mergeCell ref="T209:T210"/>
    <mergeCell ref="U209:U210"/>
    <mergeCell ref="V209:V210"/>
    <mergeCell ref="W209:W210"/>
    <mergeCell ref="X209:X210"/>
    <mergeCell ref="Y209:Y210"/>
    <mergeCell ref="Z209:Z210"/>
    <mergeCell ref="W207:W208"/>
    <mergeCell ref="X207:X208"/>
    <mergeCell ref="Y207:Y208"/>
    <mergeCell ref="Z207:Z208"/>
    <mergeCell ref="AA207:AA208"/>
    <mergeCell ref="AB207:AB208"/>
    <mergeCell ref="Y205:Y206"/>
    <mergeCell ref="Z205:Z206"/>
    <mergeCell ref="AA205:AA206"/>
    <mergeCell ref="AB205:AB206"/>
    <mergeCell ref="AC205:AC206"/>
    <mergeCell ref="R207:R208"/>
    <mergeCell ref="S207:S208"/>
    <mergeCell ref="T207:T208"/>
    <mergeCell ref="U207:U208"/>
    <mergeCell ref="V207:V208"/>
    <mergeCell ref="AA203:AA204"/>
    <mergeCell ref="AB203:AB204"/>
    <mergeCell ref="AC203:AC204"/>
    <mergeCell ref="R205:R206"/>
    <mergeCell ref="S205:S206"/>
    <mergeCell ref="T205:T206"/>
    <mergeCell ref="U205:U206"/>
    <mergeCell ref="V205:V206"/>
    <mergeCell ref="W205:W206"/>
    <mergeCell ref="X205:X206"/>
    <mergeCell ref="AC201:AC202"/>
    <mergeCell ref="R203:R204"/>
    <mergeCell ref="S203:S204"/>
    <mergeCell ref="T203:T204"/>
    <mergeCell ref="U203:U204"/>
    <mergeCell ref="V203:V204"/>
    <mergeCell ref="W203:W204"/>
    <mergeCell ref="X203:X204"/>
    <mergeCell ref="Y203:Y204"/>
    <mergeCell ref="Z203:Z204"/>
    <mergeCell ref="W201:W202"/>
    <mergeCell ref="X201:X202"/>
    <mergeCell ref="Y201:Y202"/>
    <mergeCell ref="Z201:Z202"/>
    <mergeCell ref="AA201:AA202"/>
    <mergeCell ref="AB201:AB202"/>
    <mergeCell ref="Y199:Y200"/>
    <mergeCell ref="Z199:Z200"/>
    <mergeCell ref="AA199:AA200"/>
    <mergeCell ref="AB199:AB200"/>
    <mergeCell ref="AC199:AC200"/>
    <mergeCell ref="R201:R202"/>
    <mergeCell ref="S201:S202"/>
    <mergeCell ref="T201:T202"/>
    <mergeCell ref="U201:U202"/>
    <mergeCell ref="V201:V202"/>
    <mergeCell ref="AA197:AA198"/>
    <mergeCell ref="AB197:AB198"/>
    <mergeCell ref="AC197:AC198"/>
    <mergeCell ref="R199:R200"/>
    <mergeCell ref="S199:S200"/>
    <mergeCell ref="T199:T200"/>
    <mergeCell ref="U199:U200"/>
    <mergeCell ref="V199:V200"/>
    <mergeCell ref="W199:W200"/>
    <mergeCell ref="X199:X200"/>
    <mergeCell ref="AC195:AC196"/>
    <mergeCell ref="R197:R198"/>
    <mergeCell ref="S197:S198"/>
    <mergeCell ref="T197:T198"/>
    <mergeCell ref="U197:U198"/>
    <mergeCell ref="V197:V198"/>
    <mergeCell ref="W197:W198"/>
    <mergeCell ref="X197:X198"/>
    <mergeCell ref="Y197:Y198"/>
    <mergeCell ref="Z197:Z198"/>
    <mergeCell ref="W195:W196"/>
    <mergeCell ref="X195:X196"/>
    <mergeCell ref="Y195:Y196"/>
    <mergeCell ref="Z195:Z196"/>
    <mergeCell ref="AA195:AA196"/>
    <mergeCell ref="AB195:AB196"/>
    <mergeCell ref="Y193:Y194"/>
    <mergeCell ref="Z193:Z194"/>
    <mergeCell ref="AA193:AA194"/>
    <mergeCell ref="AB193:AB194"/>
    <mergeCell ref="AC193:AC194"/>
    <mergeCell ref="R195:R196"/>
    <mergeCell ref="S195:S196"/>
    <mergeCell ref="T195:T196"/>
    <mergeCell ref="U195:U196"/>
    <mergeCell ref="V195:V196"/>
    <mergeCell ref="AA191:AA192"/>
    <mergeCell ref="AB191:AB192"/>
    <mergeCell ref="AC191:AC192"/>
    <mergeCell ref="R193:R194"/>
    <mergeCell ref="S193:S194"/>
    <mergeCell ref="T193:T194"/>
    <mergeCell ref="U193:U194"/>
    <mergeCell ref="V193:V194"/>
    <mergeCell ref="W193:W194"/>
    <mergeCell ref="X193:X194"/>
    <mergeCell ref="AC189:AC190"/>
    <mergeCell ref="R191:R192"/>
    <mergeCell ref="S191:S192"/>
    <mergeCell ref="T191:T192"/>
    <mergeCell ref="U191:U192"/>
    <mergeCell ref="V191:V192"/>
    <mergeCell ref="W191:W192"/>
    <mergeCell ref="X191:X192"/>
    <mergeCell ref="Y191:Y192"/>
    <mergeCell ref="Z191:Z192"/>
    <mergeCell ref="W189:W190"/>
    <mergeCell ref="X189:X190"/>
    <mergeCell ref="Y189:Y190"/>
    <mergeCell ref="Z189:Z190"/>
    <mergeCell ref="AA189:AA190"/>
    <mergeCell ref="AB189:AB190"/>
    <mergeCell ref="Y187:Y188"/>
    <mergeCell ref="Z187:Z188"/>
    <mergeCell ref="AA187:AA188"/>
    <mergeCell ref="AB187:AB188"/>
    <mergeCell ref="AC187:AC188"/>
    <mergeCell ref="R189:R190"/>
    <mergeCell ref="S189:S190"/>
    <mergeCell ref="T189:T190"/>
    <mergeCell ref="U189:U190"/>
    <mergeCell ref="V189:V190"/>
    <mergeCell ref="AA185:AA186"/>
    <mergeCell ref="AB185:AB186"/>
    <mergeCell ref="AC185:AC186"/>
    <mergeCell ref="R187:R188"/>
    <mergeCell ref="S187:S188"/>
    <mergeCell ref="T187:T188"/>
    <mergeCell ref="U187:U188"/>
    <mergeCell ref="V187:V188"/>
    <mergeCell ref="W187:W188"/>
    <mergeCell ref="X187:X188"/>
    <mergeCell ref="AC183:AC184"/>
    <mergeCell ref="R185:R186"/>
    <mergeCell ref="S185:S186"/>
    <mergeCell ref="T185:T186"/>
    <mergeCell ref="U185:U186"/>
    <mergeCell ref="V185:V186"/>
    <mergeCell ref="W185:W186"/>
    <mergeCell ref="X185:X186"/>
    <mergeCell ref="Y185:Y186"/>
    <mergeCell ref="Z185:Z186"/>
    <mergeCell ref="W183:W184"/>
    <mergeCell ref="X183:X184"/>
    <mergeCell ref="Y183:Y184"/>
    <mergeCell ref="Z183:Z184"/>
    <mergeCell ref="AA183:AA184"/>
    <mergeCell ref="AB183:AB184"/>
    <mergeCell ref="Y181:Y182"/>
    <mergeCell ref="Z181:Z182"/>
    <mergeCell ref="AA181:AA182"/>
    <mergeCell ref="AB181:AB182"/>
    <mergeCell ref="AC181:AC182"/>
    <mergeCell ref="R183:R184"/>
    <mergeCell ref="S183:S184"/>
    <mergeCell ref="T183:T184"/>
    <mergeCell ref="U183:U184"/>
    <mergeCell ref="V183:V184"/>
    <mergeCell ref="AA179:AA180"/>
    <mergeCell ref="AB179:AB180"/>
    <mergeCell ref="AC179:AC180"/>
    <mergeCell ref="R181:R182"/>
    <mergeCell ref="S181:S182"/>
    <mergeCell ref="T181:T182"/>
    <mergeCell ref="U181:U182"/>
    <mergeCell ref="V181:V182"/>
    <mergeCell ref="W181:W182"/>
    <mergeCell ref="X181:X182"/>
    <mergeCell ref="AC177:AC178"/>
    <mergeCell ref="R179:R180"/>
    <mergeCell ref="S179:S180"/>
    <mergeCell ref="T179:T180"/>
    <mergeCell ref="U179:U180"/>
    <mergeCell ref="V179:V180"/>
    <mergeCell ref="W179:W180"/>
    <mergeCell ref="X179:X180"/>
    <mergeCell ref="Y179:Y180"/>
    <mergeCell ref="Z179:Z180"/>
    <mergeCell ref="W177:W178"/>
    <mergeCell ref="X177:X178"/>
    <mergeCell ref="Y177:Y178"/>
    <mergeCell ref="Z177:Z178"/>
    <mergeCell ref="AA177:AA178"/>
    <mergeCell ref="AB177:AB178"/>
    <mergeCell ref="Y175:Y176"/>
    <mergeCell ref="Z175:Z176"/>
    <mergeCell ref="AA175:AA176"/>
    <mergeCell ref="AB175:AB176"/>
    <mergeCell ref="AC175:AC176"/>
    <mergeCell ref="R177:R178"/>
    <mergeCell ref="S177:S178"/>
    <mergeCell ref="T177:T178"/>
    <mergeCell ref="U177:U178"/>
    <mergeCell ref="V177:V178"/>
    <mergeCell ref="AA173:AA174"/>
    <mergeCell ref="AB173:AB174"/>
    <mergeCell ref="AC173:AC174"/>
    <mergeCell ref="R175:R176"/>
    <mergeCell ref="S175:S176"/>
    <mergeCell ref="T175:T176"/>
    <mergeCell ref="U175:U176"/>
    <mergeCell ref="V175:V176"/>
    <mergeCell ref="W175:W176"/>
    <mergeCell ref="X175:X176"/>
    <mergeCell ref="AC171:AC172"/>
    <mergeCell ref="R173:R174"/>
    <mergeCell ref="S173:S174"/>
    <mergeCell ref="T173:T174"/>
    <mergeCell ref="U173:U174"/>
    <mergeCell ref="V173:V174"/>
    <mergeCell ref="W173:W174"/>
    <mergeCell ref="X173:X174"/>
    <mergeCell ref="Y173:Y174"/>
    <mergeCell ref="Z173:Z174"/>
    <mergeCell ref="W171:W172"/>
    <mergeCell ref="X171:X172"/>
    <mergeCell ref="Y171:Y172"/>
    <mergeCell ref="Z171:Z172"/>
    <mergeCell ref="AA171:AA172"/>
    <mergeCell ref="AB171:AB172"/>
    <mergeCell ref="Y169:Y170"/>
    <mergeCell ref="Z169:Z170"/>
    <mergeCell ref="AA169:AA170"/>
    <mergeCell ref="AB169:AB170"/>
    <mergeCell ref="AC169:AC170"/>
    <mergeCell ref="R171:R172"/>
    <mergeCell ref="S171:S172"/>
    <mergeCell ref="T171:T172"/>
    <mergeCell ref="U171:U172"/>
    <mergeCell ref="V171:V172"/>
    <mergeCell ref="AA167:AA168"/>
    <mergeCell ref="AB167:AB168"/>
    <mergeCell ref="AC167:AC168"/>
    <mergeCell ref="R169:R170"/>
    <mergeCell ref="S169:S170"/>
    <mergeCell ref="T169:T170"/>
    <mergeCell ref="U169:U170"/>
    <mergeCell ref="V169:V170"/>
    <mergeCell ref="W169:W170"/>
    <mergeCell ref="X169:X170"/>
    <mergeCell ref="AC165:AC166"/>
    <mergeCell ref="R167:R168"/>
    <mergeCell ref="S167:S168"/>
    <mergeCell ref="T167:T168"/>
    <mergeCell ref="U167:U168"/>
    <mergeCell ref="V167:V168"/>
    <mergeCell ref="W167:W168"/>
    <mergeCell ref="X167:X168"/>
    <mergeCell ref="Y167:Y168"/>
    <mergeCell ref="Z167:Z168"/>
    <mergeCell ref="W165:W166"/>
    <mergeCell ref="X165:X166"/>
    <mergeCell ref="Y165:Y166"/>
    <mergeCell ref="Z165:Z166"/>
    <mergeCell ref="AA165:AA166"/>
    <mergeCell ref="AB165:AB166"/>
    <mergeCell ref="Y163:Y164"/>
    <mergeCell ref="Z163:Z164"/>
    <mergeCell ref="AA163:AA164"/>
    <mergeCell ref="AB163:AB164"/>
    <mergeCell ref="AC163:AC164"/>
    <mergeCell ref="R165:R166"/>
    <mergeCell ref="S165:S166"/>
    <mergeCell ref="T165:T166"/>
    <mergeCell ref="U165:U166"/>
    <mergeCell ref="V165:V166"/>
    <mergeCell ref="AA161:AA162"/>
    <mergeCell ref="AB161:AB162"/>
    <mergeCell ref="AC161:AC162"/>
    <mergeCell ref="R163:R164"/>
    <mergeCell ref="S163:S164"/>
    <mergeCell ref="T163:T164"/>
    <mergeCell ref="U163:U164"/>
    <mergeCell ref="V163:V164"/>
    <mergeCell ref="W163:W164"/>
    <mergeCell ref="X163:X164"/>
    <mergeCell ref="AC159:AC160"/>
    <mergeCell ref="R161:R162"/>
    <mergeCell ref="S161:S162"/>
    <mergeCell ref="T161:T162"/>
    <mergeCell ref="U161:U162"/>
    <mergeCell ref="V161:V162"/>
    <mergeCell ref="W161:W162"/>
    <mergeCell ref="X161:X162"/>
    <mergeCell ref="Y161:Y162"/>
    <mergeCell ref="Z161:Z162"/>
    <mergeCell ref="W159:W160"/>
    <mergeCell ref="X159:X160"/>
    <mergeCell ref="Y159:Y160"/>
    <mergeCell ref="Z159:Z160"/>
    <mergeCell ref="AA159:AA160"/>
    <mergeCell ref="AB159:AB160"/>
    <mergeCell ref="Y157:Y158"/>
    <mergeCell ref="Z157:Z158"/>
    <mergeCell ref="AA157:AA158"/>
    <mergeCell ref="AB157:AB158"/>
    <mergeCell ref="AC157:AC158"/>
    <mergeCell ref="R159:R160"/>
    <mergeCell ref="S159:S160"/>
    <mergeCell ref="T159:T160"/>
    <mergeCell ref="U159:U160"/>
    <mergeCell ref="V159:V160"/>
    <mergeCell ref="AA155:AA156"/>
    <mergeCell ref="AB155:AB156"/>
    <mergeCell ref="AC155:AC156"/>
    <mergeCell ref="R157:R158"/>
    <mergeCell ref="S157:S158"/>
    <mergeCell ref="T157:T158"/>
    <mergeCell ref="U157:U158"/>
    <mergeCell ref="V157:V158"/>
    <mergeCell ref="W157:W158"/>
    <mergeCell ref="X157:X158"/>
    <mergeCell ref="AC153:AC154"/>
    <mergeCell ref="R155:R156"/>
    <mergeCell ref="S155:S156"/>
    <mergeCell ref="T155:T156"/>
    <mergeCell ref="U155:U156"/>
    <mergeCell ref="V155:V156"/>
    <mergeCell ref="W155:W156"/>
    <mergeCell ref="X155:X156"/>
    <mergeCell ref="Y155:Y156"/>
    <mergeCell ref="Z155:Z156"/>
    <mergeCell ref="W153:W154"/>
    <mergeCell ref="X153:X154"/>
    <mergeCell ref="Y153:Y154"/>
    <mergeCell ref="Z153:Z154"/>
    <mergeCell ref="AA153:AA154"/>
    <mergeCell ref="AB153:AB154"/>
    <mergeCell ref="Y151:Y152"/>
    <mergeCell ref="Z151:Z152"/>
    <mergeCell ref="AA151:AA152"/>
    <mergeCell ref="AB151:AB152"/>
    <mergeCell ref="AC151:AC152"/>
    <mergeCell ref="R153:R154"/>
    <mergeCell ref="S153:S154"/>
    <mergeCell ref="T153:T154"/>
    <mergeCell ref="U153:U154"/>
    <mergeCell ref="V153:V154"/>
    <mergeCell ref="AA149:AA150"/>
    <mergeCell ref="AB149:AB150"/>
    <mergeCell ref="AC149:AC150"/>
    <mergeCell ref="R151:R152"/>
    <mergeCell ref="S151:S152"/>
    <mergeCell ref="T151:T152"/>
    <mergeCell ref="U151:U152"/>
    <mergeCell ref="V151:V152"/>
    <mergeCell ref="W151:W152"/>
    <mergeCell ref="X151:X152"/>
    <mergeCell ref="AC147:AC148"/>
    <mergeCell ref="R149:R150"/>
    <mergeCell ref="S149:S150"/>
    <mergeCell ref="T149:T150"/>
    <mergeCell ref="U149:U150"/>
    <mergeCell ref="V149:V150"/>
    <mergeCell ref="W149:W150"/>
    <mergeCell ref="X149:X150"/>
    <mergeCell ref="Y149:Y150"/>
    <mergeCell ref="Z149:Z150"/>
    <mergeCell ref="W147:W148"/>
    <mergeCell ref="X147:X148"/>
    <mergeCell ref="Y147:Y148"/>
    <mergeCell ref="Z147:Z148"/>
    <mergeCell ref="AA147:AA148"/>
    <mergeCell ref="AB147:AB148"/>
    <mergeCell ref="Y145:Y146"/>
    <mergeCell ref="Z145:Z146"/>
    <mergeCell ref="AA145:AA146"/>
    <mergeCell ref="AB145:AB146"/>
    <mergeCell ref="AC145:AC146"/>
    <mergeCell ref="R147:R148"/>
    <mergeCell ref="S147:S148"/>
    <mergeCell ref="T147:T148"/>
    <mergeCell ref="U147:U148"/>
    <mergeCell ref="V147:V148"/>
    <mergeCell ref="AA143:AA144"/>
    <mergeCell ref="AB143:AB144"/>
    <mergeCell ref="AC143:AC144"/>
    <mergeCell ref="R145:R146"/>
    <mergeCell ref="S145:S146"/>
    <mergeCell ref="T145:T146"/>
    <mergeCell ref="U145:U146"/>
    <mergeCell ref="V145:V146"/>
    <mergeCell ref="W145:W146"/>
    <mergeCell ref="X145:X146"/>
    <mergeCell ref="AC141:AC142"/>
    <mergeCell ref="R143:R144"/>
    <mergeCell ref="S143:S144"/>
    <mergeCell ref="T143:T144"/>
    <mergeCell ref="U143:U144"/>
    <mergeCell ref="V143:V144"/>
    <mergeCell ref="W143:W144"/>
    <mergeCell ref="X143:X144"/>
    <mergeCell ref="Y143:Y144"/>
    <mergeCell ref="Z143:Z144"/>
    <mergeCell ref="W141:W142"/>
    <mergeCell ref="X141:X142"/>
    <mergeCell ref="Y141:Y142"/>
    <mergeCell ref="Z141:Z142"/>
    <mergeCell ref="AA141:AA142"/>
    <mergeCell ref="AB141:AB142"/>
    <mergeCell ref="Y139:Y140"/>
    <mergeCell ref="Z139:Z140"/>
    <mergeCell ref="AA139:AA140"/>
    <mergeCell ref="AB139:AB140"/>
    <mergeCell ref="AC139:AC140"/>
    <mergeCell ref="R141:R142"/>
    <mergeCell ref="S141:S142"/>
    <mergeCell ref="T141:T142"/>
    <mergeCell ref="U141:U142"/>
    <mergeCell ref="V141:V142"/>
    <mergeCell ref="AA137:AA138"/>
    <mergeCell ref="AB137:AB138"/>
    <mergeCell ref="AC137:AC138"/>
    <mergeCell ref="R139:R140"/>
    <mergeCell ref="S139:S140"/>
    <mergeCell ref="T139:T140"/>
    <mergeCell ref="U139:U140"/>
    <mergeCell ref="V139:V140"/>
    <mergeCell ref="W139:W140"/>
    <mergeCell ref="X139:X140"/>
    <mergeCell ref="AC135:AC136"/>
    <mergeCell ref="R137:R138"/>
    <mergeCell ref="S137:S138"/>
    <mergeCell ref="T137:T138"/>
    <mergeCell ref="U137:U138"/>
    <mergeCell ref="V137:V138"/>
    <mergeCell ref="W137:W138"/>
    <mergeCell ref="X137:X138"/>
    <mergeCell ref="Y137:Y138"/>
    <mergeCell ref="Z137:Z138"/>
    <mergeCell ref="W135:W136"/>
    <mergeCell ref="X135:X136"/>
    <mergeCell ref="Y135:Y136"/>
    <mergeCell ref="Z135:Z136"/>
    <mergeCell ref="AA135:AA136"/>
    <mergeCell ref="AB135:AB136"/>
    <mergeCell ref="Y133:Y134"/>
    <mergeCell ref="Z133:Z134"/>
    <mergeCell ref="AA133:AA134"/>
    <mergeCell ref="AB133:AB134"/>
    <mergeCell ref="AC133:AC134"/>
    <mergeCell ref="R135:R136"/>
    <mergeCell ref="S135:S136"/>
    <mergeCell ref="T135:T136"/>
    <mergeCell ref="U135:U136"/>
    <mergeCell ref="V135:V136"/>
    <mergeCell ref="AA131:AA132"/>
    <mergeCell ref="AB131:AB132"/>
    <mergeCell ref="AC131:AC132"/>
    <mergeCell ref="R133:R134"/>
    <mergeCell ref="S133:S134"/>
    <mergeCell ref="T133:T134"/>
    <mergeCell ref="U133:U134"/>
    <mergeCell ref="V133:V134"/>
    <mergeCell ref="W133:W134"/>
    <mergeCell ref="X133:X134"/>
    <mergeCell ref="AC129:AC130"/>
    <mergeCell ref="R131:R132"/>
    <mergeCell ref="S131:S132"/>
    <mergeCell ref="T131:T132"/>
    <mergeCell ref="U131:U132"/>
    <mergeCell ref="V131:V132"/>
    <mergeCell ref="W131:W132"/>
    <mergeCell ref="X131:X132"/>
    <mergeCell ref="Y131:Y132"/>
    <mergeCell ref="Z131:Z132"/>
    <mergeCell ref="W129:W130"/>
    <mergeCell ref="X129:X130"/>
    <mergeCell ref="Y129:Y130"/>
    <mergeCell ref="Z129:Z130"/>
    <mergeCell ref="AA129:AA130"/>
    <mergeCell ref="AB129:AB130"/>
    <mergeCell ref="Y127:Y128"/>
    <mergeCell ref="Z127:Z128"/>
    <mergeCell ref="AA127:AA128"/>
    <mergeCell ref="AB127:AB128"/>
    <mergeCell ref="AC127:AC128"/>
    <mergeCell ref="R129:R130"/>
    <mergeCell ref="S129:S130"/>
    <mergeCell ref="T129:T130"/>
    <mergeCell ref="U129:U130"/>
    <mergeCell ref="V129:V130"/>
    <mergeCell ref="AA125:AA126"/>
    <mergeCell ref="AB125:AB126"/>
    <mergeCell ref="AC125:AC126"/>
    <mergeCell ref="R127:R128"/>
    <mergeCell ref="S127:S128"/>
    <mergeCell ref="T127:T128"/>
    <mergeCell ref="U127:U128"/>
    <mergeCell ref="V127:V128"/>
    <mergeCell ref="W127:W128"/>
    <mergeCell ref="X127:X128"/>
    <mergeCell ref="AC123:AC124"/>
    <mergeCell ref="R125:R126"/>
    <mergeCell ref="S125:S126"/>
    <mergeCell ref="T125:T126"/>
    <mergeCell ref="U125:U126"/>
    <mergeCell ref="V125:V126"/>
    <mergeCell ref="W125:W126"/>
    <mergeCell ref="X125:X126"/>
    <mergeCell ref="Y125:Y126"/>
    <mergeCell ref="Z125:Z126"/>
    <mergeCell ref="W123:W124"/>
    <mergeCell ref="X123:X124"/>
    <mergeCell ref="Y123:Y124"/>
    <mergeCell ref="Z123:Z124"/>
    <mergeCell ref="AA123:AA124"/>
    <mergeCell ref="AB123:AB124"/>
    <mergeCell ref="Y121:Y122"/>
    <mergeCell ref="Z121:Z122"/>
    <mergeCell ref="AA121:AA122"/>
    <mergeCell ref="AB121:AB122"/>
    <mergeCell ref="AC121:AC122"/>
    <mergeCell ref="R123:R124"/>
    <mergeCell ref="S123:S124"/>
    <mergeCell ref="T123:T124"/>
    <mergeCell ref="U123:U124"/>
    <mergeCell ref="V123:V124"/>
    <mergeCell ref="AA119:AA120"/>
    <mergeCell ref="AB119:AB120"/>
    <mergeCell ref="AC119:AC120"/>
    <mergeCell ref="R121:R122"/>
    <mergeCell ref="S121:S122"/>
    <mergeCell ref="T121:T122"/>
    <mergeCell ref="U121:U122"/>
    <mergeCell ref="V121:V122"/>
    <mergeCell ref="W121:W122"/>
    <mergeCell ref="X121:X122"/>
    <mergeCell ref="AC117:AC118"/>
    <mergeCell ref="R119:R120"/>
    <mergeCell ref="S119:S120"/>
    <mergeCell ref="T119:T120"/>
    <mergeCell ref="U119:U120"/>
    <mergeCell ref="V119:V120"/>
    <mergeCell ref="W119:W120"/>
    <mergeCell ref="X119:X120"/>
    <mergeCell ref="Y119:Y120"/>
    <mergeCell ref="Z119:Z120"/>
    <mergeCell ref="W117:W118"/>
    <mergeCell ref="X117:X118"/>
    <mergeCell ref="Y117:Y118"/>
    <mergeCell ref="Z117:Z118"/>
    <mergeCell ref="AA117:AA118"/>
    <mergeCell ref="AB117:AB118"/>
    <mergeCell ref="Y115:Y116"/>
    <mergeCell ref="Z115:Z116"/>
    <mergeCell ref="AA115:AA116"/>
    <mergeCell ref="AB115:AB116"/>
    <mergeCell ref="AC115:AC116"/>
    <mergeCell ref="R117:R118"/>
    <mergeCell ref="S117:S118"/>
    <mergeCell ref="T117:T118"/>
    <mergeCell ref="U117:U118"/>
    <mergeCell ref="V117:V118"/>
    <mergeCell ref="AA113:AA114"/>
    <mergeCell ref="AB113:AB114"/>
    <mergeCell ref="AC113:AC114"/>
    <mergeCell ref="R115:R116"/>
    <mergeCell ref="S115:S116"/>
    <mergeCell ref="T115:T116"/>
    <mergeCell ref="U115:U116"/>
    <mergeCell ref="V115:V116"/>
    <mergeCell ref="W115:W116"/>
    <mergeCell ref="X115:X116"/>
    <mergeCell ref="AC111:AC112"/>
    <mergeCell ref="R113:R114"/>
    <mergeCell ref="S113:S114"/>
    <mergeCell ref="T113:T114"/>
    <mergeCell ref="U113:U114"/>
    <mergeCell ref="V113:V114"/>
    <mergeCell ref="W113:W114"/>
    <mergeCell ref="X113:X114"/>
    <mergeCell ref="Y113:Y114"/>
    <mergeCell ref="Z113:Z114"/>
    <mergeCell ref="W111:W112"/>
    <mergeCell ref="X111:X112"/>
    <mergeCell ref="Y111:Y112"/>
    <mergeCell ref="Z111:Z112"/>
    <mergeCell ref="AA111:AA112"/>
    <mergeCell ref="AB111:AB112"/>
    <mergeCell ref="Y109:Y110"/>
    <mergeCell ref="Z109:Z110"/>
    <mergeCell ref="AA109:AA110"/>
    <mergeCell ref="AB109:AB110"/>
    <mergeCell ref="AC109:AC110"/>
    <mergeCell ref="R111:R112"/>
    <mergeCell ref="S111:S112"/>
    <mergeCell ref="T111:T112"/>
    <mergeCell ref="U111:U112"/>
    <mergeCell ref="V111:V112"/>
    <mergeCell ref="AA107:AA108"/>
    <mergeCell ref="AB107:AB108"/>
    <mergeCell ref="AC107:AC108"/>
    <mergeCell ref="R109:R110"/>
    <mergeCell ref="S109:S110"/>
    <mergeCell ref="T109:T110"/>
    <mergeCell ref="U109:U110"/>
    <mergeCell ref="V109:V110"/>
    <mergeCell ref="W109:W110"/>
    <mergeCell ref="X109:X110"/>
    <mergeCell ref="AC105:AC106"/>
    <mergeCell ref="R107:R108"/>
    <mergeCell ref="S107:S108"/>
    <mergeCell ref="T107:T108"/>
    <mergeCell ref="U107:U108"/>
    <mergeCell ref="V107:V108"/>
    <mergeCell ref="W107:W108"/>
    <mergeCell ref="X107:X108"/>
    <mergeCell ref="Y107:Y108"/>
    <mergeCell ref="Z107:Z108"/>
    <mergeCell ref="W105:W106"/>
    <mergeCell ref="X105:X106"/>
    <mergeCell ref="Y105:Y106"/>
    <mergeCell ref="Z105:Z106"/>
    <mergeCell ref="AA105:AA106"/>
    <mergeCell ref="AB105:AB106"/>
    <mergeCell ref="Y103:Y104"/>
    <mergeCell ref="Z103:Z104"/>
    <mergeCell ref="AA103:AA104"/>
    <mergeCell ref="AB103:AB104"/>
    <mergeCell ref="AC103:AC104"/>
    <mergeCell ref="R105:R106"/>
    <mergeCell ref="S105:S106"/>
    <mergeCell ref="T105:T106"/>
    <mergeCell ref="U105:U106"/>
    <mergeCell ref="V105:V106"/>
    <mergeCell ref="AA101:AA102"/>
    <mergeCell ref="AB101:AB102"/>
    <mergeCell ref="AC101:AC102"/>
    <mergeCell ref="R103:R104"/>
    <mergeCell ref="S103:S104"/>
    <mergeCell ref="T103:T104"/>
    <mergeCell ref="U103:U104"/>
    <mergeCell ref="V103:V104"/>
    <mergeCell ref="W103:W104"/>
    <mergeCell ref="X103:X104"/>
    <mergeCell ref="AC99:AC100"/>
    <mergeCell ref="R101:R102"/>
    <mergeCell ref="S101:S102"/>
    <mergeCell ref="T101:T102"/>
    <mergeCell ref="U101:U102"/>
    <mergeCell ref="V101:V102"/>
    <mergeCell ref="W101:W102"/>
    <mergeCell ref="X101:X102"/>
    <mergeCell ref="Y101:Y102"/>
    <mergeCell ref="Z101:Z102"/>
    <mergeCell ref="W99:W100"/>
    <mergeCell ref="X99:X100"/>
    <mergeCell ref="Y99:Y100"/>
    <mergeCell ref="Z99:Z100"/>
    <mergeCell ref="AA99:AA100"/>
    <mergeCell ref="AB99:AB100"/>
    <mergeCell ref="Y97:Y98"/>
    <mergeCell ref="Z97:Z98"/>
    <mergeCell ref="AA97:AA98"/>
    <mergeCell ref="AB97:AB98"/>
    <mergeCell ref="AC97:AC98"/>
    <mergeCell ref="R99:R100"/>
    <mergeCell ref="S99:S100"/>
    <mergeCell ref="T99:T100"/>
    <mergeCell ref="U99:U100"/>
    <mergeCell ref="V99:V100"/>
    <mergeCell ref="AA95:AA96"/>
    <mergeCell ref="AB95:AB96"/>
    <mergeCell ref="AC95:AC96"/>
    <mergeCell ref="R97:R98"/>
    <mergeCell ref="S97:S98"/>
    <mergeCell ref="T97:T98"/>
    <mergeCell ref="U97:U98"/>
    <mergeCell ref="V97:V98"/>
    <mergeCell ref="W97:W98"/>
    <mergeCell ref="X97:X98"/>
    <mergeCell ref="AC93:AC94"/>
    <mergeCell ref="R95:R96"/>
    <mergeCell ref="S95:S96"/>
    <mergeCell ref="T95:T96"/>
    <mergeCell ref="U95:U96"/>
    <mergeCell ref="V95:V96"/>
    <mergeCell ref="W95:W96"/>
    <mergeCell ref="X95:X96"/>
    <mergeCell ref="Y95:Y96"/>
    <mergeCell ref="Z95:Z96"/>
    <mergeCell ref="W93:W94"/>
    <mergeCell ref="X93:X94"/>
    <mergeCell ref="Y93:Y94"/>
    <mergeCell ref="Z93:Z94"/>
    <mergeCell ref="AA93:AA94"/>
    <mergeCell ref="AB93:AB94"/>
    <mergeCell ref="Y91:Y92"/>
    <mergeCell ref="Z91:Z92"/>
    <mergeCell ref="AA91:AA92"/>
    <mergeCell ref="AB91:AB92"/>
    <mergeCell ref="AC91:AC92"/>
    <mergeCell ref="R93:R94"/>
    <mergeCell ref="S93:S94"/>
    <mergeCell ref="T93:T94"/>
    <mergeCell ref="U93:U94"/>
    <mergeCell ref="V93:V94"/>
    <mergeCell ref="AA89:AA90"/>
    <mergeCell ref="AB89:AB90"/>
    <mergeCell ref="AC89:AC90"/>
    <mergeCell ref="R91:R92"/>
    <mergeCell ref="S91:S92"/>
    <mergeCell ref="T91:T92"/>
    <mergeCell ref="U91:U92"/>
    <mergeCell ref="V91:V92"/>
    <mergeCell ref="W91:W92"/>
    <mergeCell ref="X91:X92"/>
    <mergeCell ref="AC87:AC88"/>
    <mergeCell ref="R89:R90"/>
    <mergeCell ref="S89:S90"/>
    <mergeCell ref="T89:T90"/>
    <mergeCell ref="U89:U90"/>
    <mergeCell ref="V89:V90"/>
    <mergeCell ref="W89:W90"/>
    <mergeCell ref="X89:X90"/>
    <mergeCell ref="Y89:Y90"/>
    <mergeCell ref="Z89:Z90"/>
    <mergeCell ref="W87:W88"/>
    <mergeCell ref="X87:X88"/>
    <mergeCell ref="Y87:Y88"/>
    <mergeCell ref="Z87:Z88"/>
    <mergeCell ref="AA87:AA88"/>
    <mergeCell ref="AB87:AB88"/>
    <mergeCell ref="Y85:Y86"/>
    <mergeCell ref="Z85:Z86"/>
    <mergeCell ref="AA85:AA86"/>
    <mergeCell ref="AB85:AB86"/>
    <mergeCell ref="AC85:AC86"/>
    <mergeCell ref="R87:R88"/>
    <mergeCell ref="S87:S88"/>
    <mergeCell ref="T87:T88"/>
    <mergeCell ref="U87:U88"/>
    <mergeCell ref="V87:V88"/>
    <mergeCell ref="AA83:AA84"/>
    <mergeCell ref="AB83:AB84"/>
    <mergeCell ref="AC83:AC84"/>
    <mergeCell ref="R85:R86"/>
    <mergeCell ref="S85:S86"/>
    <mergeCell ref="T85:T86"/>
    <mergeCell ref="U85:U86"/>
    <mergeCell ref="V85:V86"/>
    <mergeCell ref="W85:W86"/>
    <mergeCell ref="X85:X86"/>
    <mergeCell ref="AC81:AC82"/>
    <mergeCell ref="R83:R84"/>
    <mergeCell ref="S83:S84"/>
    <mergeCell ref="T83:T84"/>
    <mergeCell ref="U83:U84"/>
    <mergeCell ref="V83:V84"/>
    <mergeCell ref="W83:W84"/>
    <mergeCell ref="X83:X84"/>
    <mergeCell ref="Y83:Y84"/>
    <mergeCell ref="Z83:Z84"/>
    <mergeCell ref="W81:W82"/>
    <mergeCell ref="X81:X82"/>
    <mergeCell ref="Y81:Y82"/>
    <mergeCell ref="Z81:Z82"/>
    <mergeCell ref="AA81:AA82"/>
    <mergeCell ref="AB81:AB82"/>
    <mergeCell ref="Y79:Y80"/>
    <mergeCell ref="Z79:Z80"/>
    <mergeCell ref="AA79:AA80"/>
    <mergeCell ref="AB79:AB80"/>
    <mergeCell ref="AC79:AC80"/>
    <mergeCell ref="R81:R82"/>
    <mergeCell ref="S81:S82"/>
    <mergeCell ref="T81:T82"/>
    <mergeCell ref="U81:U82"/>
    <mergeCell ref="V81:V82"/>
    <mergeCell ref="AA77:AA78"/>
    <mergeCell ref="AB77:AB78"/>
    <mergeCell ref="AC77:AC78"/>
    <mergeCell ref="R79:R80"/>
    <mergeCell ref="S79:S80"/>
    <mergeCell ref="T79:T80"/>
    <mergeCell ref="U79:U80"/>
    <mergeCell ref="V79:V80"/>
    <mergeCell ref="W79:W80"/>
    <mergeCell ref="X79:X80"/>
    <mergeCell ref="AC75:AC76"/>
    <mergeCell ref="R77:R78"/>
    <mergeCell ref="S77:S78"/>
    <mergeCell ref="T77:T78"/>
    <mergeCell ref="U77:U78"/>
    <mergeCell ref="V77:V78"/>
    <mergeCell ref="W77:W78"/>
    <mergeCell ref="X77:X78"/>
    <mergeCell ref="Y77:Y78"/>
    <mergeCell ref="Z77:Z78"/>
    <mergeCell ref="W75:W76"/>
    <mergeCell ref="X75:X76"/>
    <mergeCell ref="Y75:Y76"/>
    <mergeCell ref="Z75:Z76"/>
    <mergeCell ref="AA75:AA76"/>
    <mergeCell ref="AB75:AB76"/>
    <mergeCell ref="Y73:Y74"/>
    <mergeCell ref="Z73:Z74"/>
    <mergeCell ref="AA73:AA74"/>
    <mergeCell ref="AB73:AB74"/>
    <mergeCell ref="AC73:AC74"/>
    <mergeCell ref="R75:R76"/>
    <mergeCell ref="S75:S76"/>
    <mergeCell ref="T75:T76"/>
    <mergeCell ref="U75:U76"/>
    <mergeCell ref="V75:V76"/>
    <mergeCell ref="AA71:AA72"/>
    <mergeCell ref="AB71:AB72"/>
    <mergeCell ref="AC71:AC72"/>
    <mergeCell ref="R73:R74"/>
    <mergeCell ref="S73:S74"/>
    <mergeCell ref="T73:T74"/>
    <mergeCell ref="U73:U74"/>
    <mergeCell ref="V73:V74"/>
    <mergeCell ref="W73:W74"/>
    <mergeCell ref="X73:X74"/>
    <mergeCell ref="AC69:AC70"/>
    <mergeCell ref="R71:R72"/>
    <mergeCell ref="S71:S72"/>
    <mergeCell ref="T71:T72"/>
    <mergeCell ref="U71:U72"/>
    <mergeCell ref="V71:V72"/>
    <mergeCell ref="W71:W72"/>
    <mergeCell ref="X71:X72"/>
    <mergeCell ref="Y71:Y72"/>
    <mergeCell ref="Z71:Z72"/>
    <mergeCell ref="W69:W70"/>
    <mergeCell ref="X69:X70"/>
    <mergeCell ref="Y69:Y70"/>
    <mergeCell ref="Z69:Z70"/>
    <mergeCell ref="AA69:AA70"/>
    <mergeCell ref="AB69:AB70"/>
    <mergeCell ref="Y67:Y68"/>
    <mergeCell ref="Z67:Z68"/>
    <mergeCell ref="AA67:AA68"/>
    <mergeCell ref="AB67:AB68"/>
    <mergeCell ref="AC67:AC68"/>
    <mergeCell ref="R69:R70"/>
    <mergeCell ref="S69:S70"/>
    <mergeCell ref="T69:T70"/>
    <mergeCell ref="U69:U70"/>
    <mergeCell ref="V69:V70"/>
    <mergeCell ref="AA65:AA66"/>
    <mergeCell ref="AB65:AB66"/>
    <mergeCell ref="AC65:AC66"/>
    <mergeCell ref="R67:R68"/>
    <mergeCell ref="S67:S68"/>
    <mergeCell ref="T67:T68"/>
    <mergeCell ref="U67:U68"/>
    <mergeCell ref="V67:V68"/>
    <mergeCell ref="W67:W68"/>
    <mergeCell ref="X67:X68"/>
    <mergeCell ref="AC63:AC64"/>
    <mergeCell ref="R65:R66"/>
    <mergeCell ref="S65:S66"/>
    <mergeCell ref="T65:T66"/>
    <mergeCell ref="U65:U66"/>
    <mergeCell ref="V65:V66"/>
    <mergeCell ref="W65:W66"/>
    <mergeCell ref="X65:X66"/>
    <mergeCell ref="Y65:Y66"/>
    <mergeCell ref="Z65:Z66"/>
    <mergeCell ref="W63:W64"/>
    <mergeCell ref="X63:X64"/>
    <mergeCell ref="Y63:Y64"/>
    <mergeCell ref="Z63:Z64"/>
    <mergeCell ref="AA63:AA64"/>
    <mergeCell ref="AB63:AB64"/>
    <mergeCell ref="Y61:Y62"/>
    <mergeCell ref="Z61:Z62"/>
    <mergeCell ref="AA61:AA62"/>
    <mergeCell ref="AB61:AB62"/>
    <mergeCell ref="AC61:AC62"/>
    <mergeCell ref="R63:R64"/>
    <mergeCell ref="S63:S64"/>
    <mergeCell ref="T63:T64"/>
    <mergeCell ref="U63:U64"/>
    <mergeCell ref="V63:V64"/>
    <mergeCell ref="AA59:AA60"/>
    <mergeCell ref="AB59:AB60"/>
    <mergeCell ref="AC59:AC60"/>
    <mergeCell ref="R61:R62"/>
    <mergeCell ref="S61:S62"/>
    <mergeCell ref="T61:T62"/>
    <mergeCell ref="U61:U62"/>
    <mergeCell ref="V61:V62"/>
    <mergeCell ref="W61:W62"/>
    <mergeCell ref="X61:X62"/>
    <mergeCell ref="AC57:AC58"/>
    <mergeCell ref="R59:R60"/>
    <mergeCell ref="S59:S60"/>
    <mergeCell ref="T59:T60"/>
    <mergeCell ref="U59:U60"/>
    <mergeCell ref="V59:V60"/>
    <mergeCell ref="W59:W60"/>
    <mergeCell ref="X59:X60"/>
    <mergeCell ref="Y59:Y60"/>
    <mergeCell ref="Z59:Z60"/>
    <mergeCell ref="W57:W58"/>
    <mergeCell ref="X57:X58"/>
    <mergeCell ref="Y57:Y58"/>
    <mergeCell ref="Z57:Z58"/>
    <mergeCell ref="AA57:AA58"/>
    <mergeCell ref="AB57:AB58"/>
    <mergeCell ref="Y55:Y56"/>
    <mergeCell ref="Z55:Z56"/>
    <mergeCell ref="AA55:AA56"/>
    <mergeCell ref="AB55:AB56"/>
    <mergeCell ref="AC55:AC56"/>
    <mergeCell ref="R57:R58"/>
    <mergeCell ref="S57:S58"/>
    <mergeCell ref="T57:T58"/>
    <mergeCell ref="U57:U58"/>
    <mergeCell ref="V57:V58"/>
    <mergeCell ref="AA53:AA54"/>
    <mergeCell ref="AB53:AB54"/>
    <mergeCell ref="AC53:AC54"/>
    <mergeCell ref="R55:R56"/>
    <mergeCell ref="S55:S56"/>
    <mergeCell ref="T55:T56"/>
    <mergeCell ref="U55:U56"/>
    <mergeCell ref="V55:V56"/>
    <mergeCell ref="W55:W56"/>
    <mergeCell ref="X55:X56"/>
    <mergeCell ref="AC51:AC52"/>
    <mergeCell ref="R53:R54"/>
    <mergeCell ref="S53:S54"/>
    <mergeCell ref="T53:T54"/>
    <mergeCell ref="U53:U54"/>
    <mergeCell ref="V53:V54"/>
    <mergeCell ref="W53:W54"/>
    <mergeCell ref="X53:X54"/>
    <mergeCell ref="Y53:Y54"/>
    <mergeCell ref="Z53:Z54"/>
    <mergeCell ref="W51:W52"/>
    <mergeCell ref="X51:X52"/>
    <mergeCell ref="Y51:Y52"/>
    <mergeCell ref="Z51:Z52"/>
    <mergeCell ref="AA51:AA52"/>
    <mergeCell ref="AB51:AB52"/>
    <mergeCell ref="Y49:Y50"/>
    <mergeCell ref="Z49:Z50"/>
    <mergeCell ref="AA49:AA50"/>
    <mergeCell ref="AB49:AB50"/>
    <mergeCell ref="AC49:AC50"/>
    <mergeCell ref="R51:R52"/>
    <mergeCell ref="S51:S52"/>
    <mergeCell ref="T51:T52"/>
    <mergeCell ref="U51:U52"/>
    <mergeCell ref="V51:V52"/>
    <mergeCell ref="AA47:AA48"/>
    <mergeCell ref="AB47:AB48"/>
    <mergeCell ref="AC47:AC48"/>
    <mergeCell ref="R49:R50"/>
    <mergeCell ref="S49:S50"/>
    <mergeCell ref="T49:T50"/>
    <mergeCell ref="U49:U50"/>
    <mergeCell ref="V49:V50"/>
    <mergeCell ref="W49:W50"/>
    <mergeCell ref="X49:X50"/>
    <mergeCell ref="AC45:AC46"/>
    <mergeCell ref="R47:R48"/>
    <mergeCell ref="S47:S48"/>
    <mergeCell ref="T47:T48"/>
    <mergeCell ref="U47:U48"/>
    <mergeCell ref="V47:V48"/>
    <mergeCell ref="W47:W48"/>
    <mergeCell ref="X47:X48"/>
    <mergeCell ref="Y47:Y48"/>
    <mergeCell ref="Z47:Z48"/>
    <mergeCell ref="W45:W46"/>
    <mergeCell ref="X45:X46"/>
    <mergeCell ref="Y45:Y46"/>
    <mergeCell ref="Z45:Z46"/>
    <mergeCell ref="AA45:AA46"/>
    <mergeCell ref="AB45:AB46"/>
    <mergeCell ref="Y43:Y44"/>
    <mergeCell ref="Z43:Z44"/>
    <mergeCell ref="AA43:AA44"/>
    <mergeCell ref="AB43:AB44"/>
    <mergeCell ref="AC43:AC44"/>
    <mergeCell ref="R45:R46"/>
    <mergeCell ref="S45:S46"/>
    <mergeCell ref="T45:T46"/>
    <mergeCell ref="U45:U46"/>
    <mergeCell ref="V45:V46"/>
    <mergeCell ref="AA41:AA42"/>
    <mergeCell ref="AB41:AB42"/>
    <mergeCell ref="AC41:AC42"/>
    <mergeCell ref="R43:R44"/>
    <mergeCell ref="S43:S44"/>
    <mergeCell ref="T43:T44"/>
    <mergeCell ref="U43:U44"/>
    <mergeCell ref="V43:V44"/>
    <mergeCell ref="W43:W44"/>
    <mergeCell ref="X43:X44"/>
    <mergeCell ref="AC39:AC40"/>
    <mergeCell ref="R41:R42"/>
    <mergeCell ref="S41:S42"/>
    <mergeCell ref="T41:T42"/>
    <mergeCell ref="U41:U42"/>
    <mergeCell ref="V41:V42"/>
    <mergeCell ref="W41:W42"/>
    <mergeCell ref="X41:X42"/>
    <mergeCell ref="Y41:Y42"/>
    <mergeCell ref="Z41:Z42"/>
    <mergeCell ref="W39:W40"/>
    <mergeCell ref="X39:X40"/>
    <mergeCell ref="Y39:Y40"/>
    <mergeCell ref="Z39:Z40"/>
    <mergeCell ref="AA39:AA40"/>
    <mergeCell ref="AB39:AB40"/>
    <mergeCell ref="Y37:Y38"/>
    <mergeCell ref="Z37:Z38"/>
    <mergeCell ref="AA37:AA38"/>
    <mergeCell ref="AB37:AB38"/>
    <mergeCell ref="AC37:AC38"/>
    <mergeCell ref="R39:R40"/>
    <mergeCell ref="S39:S40"/>
    <mergeCell ref="T39:T40"/>
    <mergeCell ref="U39:U40"/>
    <mergeCell ref="V39:V40"/>
    <mergeCell ref="AA35:AA36"/>
    <mergeCell ref="AB35:AB36"/>
    <mergeCell ref="AC35:AC36"/>
    <mergeCell ref="R37:R38"/>
    <mergeCell ref="S37:S38"/>
    <mergeCell ref="T37:T38"/>
    <mergeCell ref="U37:U38"/>
    <mergeCell ref="V37:V38"/>
    <mergeCell ref="W37:W38"/>
    <mergeCell ref="X37:X38"/>
    <mergeCell ref="AC33:AC34"/>
    <mergeCell ref="R35:R36"/>
    <mergeCell ref="S35:S36"/>
    <mergeCell ref="T35:T36"/>
    <mergeCell ref="U35:U36"/>
    <mergeCell ref="V35:V36"/>
    <mergeCell ref="W35:W36"/>
    <mergeCell ref="X35:X36"/>
    <mergeCell ref="Y35:Y36"/>
    <mergeCell ref="Z35:Z36"/>
    <mergeCell ref="W33:W34"/>
    <mergeCell ref="X33:X34"/>
    <mergeCell ref="Y33:Y34"/>
    <mergeCell ref="Z33:Z34"/>
    <mergeCell ref="AA33:AA34"/>
    <mergeCell ref="AB33:AB34"/>
    <mergeCell ref="Y31:Y32"/>
    <mergeCell ref="Z31:Z32"/>
    <mergeCell ref="AA31:AA32"/>
    <mergeCell ref="AB31:AB32"/>
    <mergeCell ref="AC31:AC32"/>
    <mergeCell ref="R33:R34"/>
    <mergeCell ref="S33:S34"/>
    <mergeCell ref="T33:T34"/>
    <mergeCell ref="U33:U34"/>
    <mergeCell ref="V33:V34"/>
    <mergeCell ref="AA29:AA30"/>
    <mergeCell ref="AB29:AB30"/>
    <mergeCell ref="AC29:AC30"/>
    <mergeCell ref="R31:R32"/>
    <mergeCell ref="S31:S32"/>
    <mergeCell ref="T31:T32"/>
    <mergeCell ref="U31:U32"/>
    <mergeCell ref="V31:V32"/>
    <mergeCell ref="W31:W32"/>
    <mergeCell ref="X31:X32"/>
    <mergeCell ref="AC27:AC28"/>
    <mergeCell ref="R29:R30"/>
    <mergeCell ref="S29:S30"/>
    <mergeCell ref="T29:T30"/>
    <mergeCell ref="U29:U30"/>
    <mergeCell ref="V29:V30"/>
    <mergeCell ref="W29:W30"/>
    <mergeCell ref="X29:X30"/>
    <mergeCell ref="Y29:Y30"/>
    <mergeCell ref="Z29:Z30"/>
    <mergeCell ref="W27:W28"/>
    <mergeCell ref="X27:X28"/>
    <mergeCell ref="Y27:Y28"/>
    <mergeCell ref="Z27:Z28"/>
    <mergeCell ref="AA27:AA28"/>
    <mergeCell ref="AB27:AB28"/>
    <mergeCell ref="Y25:Y26"/>
    <mergeCell ref="Z25:Z26"/>
    <mergeCell ref="AA25:AA26"/>
    <mergeCell ref="AB25:AB26"/>
    <mergeCell ref="AC25:AC26"/>
    <mergeCell ref="R27:R28"/>
    <mergeCell ref="S27:S28"/>
    <mergeCell ref="T27:T28"/>
    <mergeCell ref="U27:U28"/>
    <mergeCell ref="V27:V28"/>
    <mergeCell ref="AA23:AA24"/>
    <mergeCell ref="AB23:AB24"/>
    <mergeCell ref="AC23:AC24"/>
    <mergeCell ref="R25:R26"/>
    <mergeCell ref="S25:S26"/>
    <mergeCell ref="T25:T26"/>
    <mergeCell ref="U25:U26"/>
    <mergeCell ref="V25:V26"/>
    <mergeCell ref="W25:W26"/>
    <mergeCell ref="X25:X26"/>
    <mergeCell ref="BM21:BM23"/>
    <mergeCell ref="R23:R24"/>
    <mergeCell ref="S23:S24"/>
    <mergeCell ref="T23:T24"/>
    <mergeCell ref="U23:U24"/>
    <mergeCell ref="V23:V24"/>
    <mergeCell ref="W23:W24"/>
    <mergeCell ref="X23:X24"/>
    <mergeCell ref="Y23:Y24"/>
    <mergeCell ref="Z23:Z24"/>
    <mergeCell ref="BB21:BB23"/>
    <mergeCell ref="BC21:BD23"/>
    <mergeCell ref="BE21:BF23"/>
    <mergeCell ref="BG21:BH23"/>
    <mergeCell ref="BI21:BJ23"/>
    <mergeCell ref="BK21:BL23"/>
    <mergeCell ref="X21:X22"/>
    <mergeCell ref="Y21:Y22"/>
    <mergeCell ref="Z21:Z22"/>
    <mergeCell ref="AA21:AA22"/>
    <mergeCell ref="AB21:AB22"/>
    <mergeCell ref="AC21:AC22"/>
    <mergeCell ref="R21:R22"/>
    <mergeCell ref="S21:S22"/>
    <mergeCell ref="T21:T22"/>
    <mergeCell ref="U21:U22"/>
    <mergeCell ref="V21:V22"/>
    <mergeCell ref="W21:W22"/>
    <mergeCell ref="X19:X20"/>
    <mergeCell ref="Y19:Y20"/>
    <mergeCell ref="Z19:Z20"/>
    <mergeCell ref="AA19:AA20"/>
    <mergeCell ref="AB19:AB20"/>
    <mergeCell ref="AC19:AC20"/>
    <mergeCell ref="BG18:BH20"/>
    <mergeCell ref="BI18:BJ20"/>
    <mergeCell ref="BK18:BL20"/>
    <mergeCell ref="BM18:BM20"/>
    <mergeCell ref="R19:R20"/>
    <mergeCell ref="S19:S20"/>
    <mergeCell ref="T19:T20"/>
    <mergeCell ref="U19:U20"/>
    <mergeCell ref="V19:V20"/>
    <mergeCell ref="W19:W20"/>
    <mergeCell ref="AA17:AA18"/>
    <mergeCell ref="AB17:AB18"/>
    <mergeCell ref="AC17:AC18"/>
    <mergeCell ref="BB18:BB20"/>
    <mergeCell ref="BC18:BD20"/>
    <mergeCell ref="BE18:BF20"/>
    <mergeCell ref="BM15:BM17"/>
    <mergeCell ref="R17:R18"/>
    <mergeCell ref="S17:S18"/>
    <mergeCell ref="T17:T18"/>
    <mergeCell ref="U17:U18"/>
    <mergeCell ref="V17:V18"/>
    <mergeCell ref="W17:W18"/>
    <mergeCell ref="X17:X18"/>
    <mergeCell ref="Y17:Y18"/>
    <mergeCell ref="Z17:Z18"/>
    <mergeCell ref="BB15:BB17"/>
    <mergeCell ref="BC15:BD17"/>
    <mergeCell ref="BE15:BF17"/>
    <mergeCell ref="BG15:BH17"/>
    <mergeCell ref="BI15:BJ17"/>
    <mergeCell ref="BK15:BL17"/>
    <mergeCell ref="X15:X16"/>
    <mergeCell ref="Y15:Y16"/>
    <mergeCell ref="Z15:Z16"/>
    <mergeCell ref="AA15:AA16"/>
    <mergeCell ref="AB15:AB16"/>
    <mergeCell ref="AC15:AC16"/>
    <mergeCell ref="R15:R16"/>
    <mergeCell ref="S15:S16"/>
    <mergeCell ref="T15:T16"/>
    <mergeCell ref="U15:U16"/>
    <mergeCell ref="V15:V16"/>
    <mergeCell ref="W15:W16"/>
    <mergeCell ref="X13:X14"/>
    <mergeCell ref="Y13:Y14"/>
    <mergeCell ref="Z13:Z14"/>
    <mergeCell ref="AA13:AA14"/>
    <mergeCell ref="AB13:AB14"/>
    <mergeCell ref="AC13:AC14"/>
    <mergeCell ref="BG12:BH14"/>
    <mergeCell ref="BI12:BJ14"/>
    <mergeCell ref="BK12:BL14"/>
    <mergeCell ref="BM12:BM14"/>
    <mergeCell ref="R13:R14"/>
    <mergeCell ref="S13:S14"/>
    <mergeCell ref="T13:T14"/>
    <mergeCell ref="U13:U14"/>
    <mergeCell ref="V13:V14"/>
    <mergeCell ref="W13:W14"/>
    <mergeCell ref="AA11:AA12"/>
    <mergeCell ref="AB11:AB12"/>
    <mergeCell ref="AC11:AC12"/>
    <mergeCell ref="BB12:BB14"/>
    <mergeCell ref="BC12:BD14"/>
    <mergeCell ref="BE12:BF14"/>
    <mergeCell ref="BM9:BM11"/>
    <mergeCell ref="R11:R12"/>
    <mergeCell ref="S11:S12"/>
    <mergeCell ref="T11:T12"/>
    <mergeCell ref="U11:U12"/>
    <mergeCell ref="V11:V12"/>
    <mergeCell ref="W11:W12"/>
    <mergeCell ref="X11:X12"/>
    <mergeCell ref="Y11:Y12"/>
    <mergeCell ref="Z11:Z12"/>
    <mergeCell ref="BB9:BB11"/>
    <mergeCell ref="BC9:BD11"/>
    <mergeCell ref="BE9:BF11"/>
    <mergeCell ref="BG9:BH11"/>
    <mergeCell ref="BI9:BJ11"/>
    <mergeCell ref="BK9:BL11"/>
    <mergeCell ref="X9:X10"/>
    <mergeCell ref="Y9:Y10"/>
    <mergeCell ref="Z9:Z10"/>
    <mergeCell ref="AA9:AA10"/>
    <mergeCell ref="AB9:AB10"/>
    <mergeCell ref="AC9:AC10"/>
    <mergeCell ref="R9:R10"/>
    <mergeCell ref="S9:S10"/>
    <mergeCell ref="T9:T10"/>
    <mergeCell ref="U9:U10"/>
    <mergeCell ref="V9:V10"/>
    <mergeCell ref="W9:W10"/>
    <mergeCell ref="X7:X8"/>
    <mergeCell ref="Y7:Y8"/>
    <mergeCell ref="Z7:Z8"/>
    <mergeCell ref="AA7:AA8"/>
    <mergeCell ref="AB7:AB8"/>
    <mergeCell ref="AC7:AC8"/>
    <mergeCell ref="BG6:BH8"/>
    <mergeCell ref="BI6:BJ8"/>
    <mergeCell ref="BK6:BL8"/>
    <mergeCell ref="BM6:BM8"/>
    <mergeCell ref="R7:R8"/>
    <mergeCell ref="S7:S8"/>
    <mergeCell ref="T7:T8"/>
    <mergeCell ref="U7:U8"/>
    <mergeCell ref="V7:V8"/>
    <mergeCell ref="W7:W8"/>
    <mergeCell ref="AA5:AA6"/>
    <mergeCell ref="AB5:AB6"/>
    <mergeCell ref="AC5:AC6"/>
    <mergeCell ref="BB6:BB8"/>
    <mergeCell ref="BC6:BD8"/>
    <mergeCell ref="BE6:BF8"/>
    <mergeCell ref="BM2:BM5"/>
    <mergeCell ref="R5:R6"/>
    <mergeCell ref="S5:S6"/>
    <mergeCell ref="T5:T6"/>
    <mergeCell ref="U5:U6"/>
    <mergeCell ref="V5:V6"/>
    <mergeCell ref="W5:W6"/>
    <mergeCell ref="X5:X6"/>
    <mergeCell ref="Y5:Y6"/>
    <mergeCell ref="Z5:Z6"/>
    <mergeCell ref="BB2:BB5"/>
    <mergeCell ref="BC2:BD5"/>
    <mergeCell ref="BE2:BF5"/>
    <mergeCell ref="BG2:BH5"/>
    <mergeCell ref="BI2:BJ5"/>
    <mergeCell ref="BK2:BL5"/>
    <mergeCell ref="X2:X4"/>
    <mergeCell ref="Y2:Y4"/>
    <mergeCell ref="Z2:Z4"/>
    <mergeCell ref="AA2:AA4"/>
    <mergeCell ref="AB2:AB4"/>
    <mergeCell ref="AC2:AC4"/>
    <mergeCell ref="R2:R4"/>
    <mergeCell ref="S2:S4"/>
    <mergeCell ref="T2:T4"/>
    <mergeCell ref="U2:U4"/>
    <mergeCell ref="V2:V4"/>
    <mergeCell ref="W2:W4"/>
  </mergeCells>
  <dataValidations count="8">
    <dataValidation type="list" allowBlank="1" showInputMessage="1" showErrorMessage="1" sqref="C332 C6 C8 C10 C12 C14 C16 C18 C20 C22 C24 C26 C2 C4 C28 C30 C32 C34 C36 C38 C262 C264 C278 C280 C282 C306 C296 C298 C300 C302 C304 C318 C320 C322 C324 C326 C328 C330 C78 C56 C58 C60 C62 C64 C66 C68 C70 C72 C74 C76 C102 C42 C44 C46 C48 C50 C52 C54 C80 C82 C84 C86 C88 C90 C92 C94 C96 C98 C100 C140 C142 C144 C146 C148 C150 C118 C120 C122 C124 C126 C128 C130 C132 C134 C136 C138 C104 C106 C108 C110 C112 C114 C116 C152 C154 C156 C158 C160 C162 C164 C166 C168 C170 C172 C190 C192 C194 C196 C198 C200 C202 C204 C206 C208 C224 C226 C228 C236 C222 C230 C232 C234 C246 C242 C244 C252 C188 C210 C212 C214 C216 C218 C220 C238 C240 C248 C250 C276 C266 C268 C270 C272 C274 C288 C290 C284 C286 C40 C174 C176 C178 C180 C182 C184 C186 C254 C256 C258 C260 C292 C294 C308 C310 C312 C314 C316">
      <formula1>(سروینگ)</formula1>
    </dataValidation>
    <dataValidation type="list" allowBlank="1" showInputMessage="1" showErrorMessage="1" sqref="AO5">
      <formula1>(سبزیجات)</formula1>
    </dataValidation>
    <dataValidation type="list" allowBlank="1" showInputMessage="1" showErrorMessage="1" sqref="AQ5">
      <formula1>(نوشیدنی1)</formula1>
    </dataValidation>
    <dataValidation type="list" allowBlank="1" showInputMessage="1" showErrorMessage="1" sqref="AP5:AP10">
      <formula1>(چربیها)</formula1>
    </dataValidation>
    <dataValidation type="list" allowBlank="1" showInputMessage="1" showErrorMessage="1" sqref="AL6:AM10 AL5:AN5">
      <formula1>(نانها)</formula1>
    </dataValidation>
    <dataValidation type="list" allowBlank="1" showInputMessage="1" showErrorMessage="1" sqref="AN6:AO10 AQ6:AQ10">
      <formula1>(کلها)</formula1>
    </dataValidation>
    <dataValidation type="list" allowBlank="1" showInputMessage="1" showErrorMessage="1" sqref="AR5:AR30">
      <formula1>تعداد</formula1>
    </dataValidation>
    <dataValidation type="list" allowBlank="1" showInputMessage="1" showErrorMessage="1" sqref="AK5:AK30">
      <formula1>(وعده)</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Pooya Setoodeh</dc:creator>
  <cp:lastModifiedBy>arman</cp:lastModifiedBy>
  <dcterms:created xsi:type="dcterms:W3CDTF">2020-11-24T06:38:01Z</dcterms:created>
  <dcterms:modified xsi:type="dcterms:W3CDTF">2020-12-08T11:57:59Z</dcterms:modified>
</cp:coreProperties>
</file>