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62A1F00E-B083-2848-B2C9-9FA2CE00DB8E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68" r:id="rId13"/>
    <pivotCache cacheId="378" r:id="rId14"/>
    <pivotCache cacheId="38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808" i="1" l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K21" i="7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<sst xmlns="http://schemas.openxmlformats.org/spreadsheetml/2006/main" count="62008" uniqueCount="3686">
  <si>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</si>
  <si>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</si>
  <si>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</si>
  <si>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</si>
  <si>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</si>
  <si>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</si>
  <si>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</si>
  <si>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</si>
  <si>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</si>
  <si>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</si>
  <si>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</si>
  <si>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</si>
  <si>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</si>
  <si>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</si>
  <si>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</si>
  <si>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</si>
  <si>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</si>
  <si>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</si>
  <si>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</si>
  <si>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</si>
  <si>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</si>
  <si>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</si>
  <si>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</si>
  <si>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</si>
  <si>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</si>
  <si>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</si>
  <si>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</si>
  <si>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</si>
  <si>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</si>
  <si>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</si>
  <si>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</si>
  <si>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</si>
  <si>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</si>
  <si>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</si>
  <si>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</si>
  <si>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</si>
  <si>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</si>
  <si>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</si>
  <si>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</si>
  <si>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</si>
  <si>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</si>
  <si>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</si>
  <si>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</si>
  <si>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</si>
  <si>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</si>
  <si>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</si>
  <si>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</si>
  <si>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</si>
  <si>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</si>
  <si>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</si>
  <si>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</si>
  <si>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</si>
  <si>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</si>
  <si>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</si>
  <si>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</si>
  <si>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</si>
  <si>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</si>
  <si>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</si>
  <si>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</si>
  <si>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</si>
  <si>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</si>
  <si>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</si>
  <si>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</si>
  <si>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</si>
  <si>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</si>
  <si>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</si>
  <si>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</si>
  <si>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</si>
  <si>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</si>
  <si>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</si>
  <si>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</si>
  <si>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</si>
  <si>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</si>
  <si>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</si>
  <si>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</si>
  <si>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</si>
  <si>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</si>
  <si>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</si>
  <si>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</si>
  <si>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</si>
  <si>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</si>
  <si>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</si>
  <si>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</si>
  <si>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</si>
  <si>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</si>
  <si>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</si>
  <si>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</si>
  <si>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</si>
  <si>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</si>
  <si>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</si>
  <si>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</si>
  <si>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</si>
  <si>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</si>
  <si>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</si>
  <si>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</si>
  <si>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</si>
  <si>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</si>
  <si>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</si>
  <si>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</si>
  <si>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</si>
  <si>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</si>
  <si>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</si>
  <si>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</si>
  <si>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</si>
  <si>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</si>
  <si>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</si>
  <si>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</si>
  <si>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</si>
  <si>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</si>
  <si>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</si>
  <si>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</si>
  <si>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</si>
  <si>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</si>
  <si>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</si>
  <si>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</si>
  <si>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</si>
  <si>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</si>
  <si>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</si>
  <si>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</si>
  <si>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</si>
  <si>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</si>
  <si>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</si>
  <si>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</si>
  <si>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</si>
  <si>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</si>
  <si>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</si>
  <si>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</si>
  <si>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</si>
  <si>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</si>
  <si>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</si>
  <si>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</si>
  <si>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</si>
  <si>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</si>
  <si>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</si>
  <si>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</si>
  <si>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</si>
  <si>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</si>
  <si>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</si>
  <si>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</si>
  <si>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</si>
  <si>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</si>
  <si>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</si>
  <si>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</si>
  <si>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</si>
  <si>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</si>
  <si>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</si>
  <si>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</si>
  <si>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</si>
  <si>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</si>
  <si>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</si>
  <si>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</si>
  <si>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</si>
  <si>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</si>
  <si>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</si>
  <si>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</si>
  <si>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</si>
  <si>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</si>
  <si>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</si>
  <si>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</si>
  <si>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</si>
  <si>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</si>
  <si>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</si>
  <si>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</si>
  <si>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</si>
  <si>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</si>
  <si>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</si>
  <si>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</si>
  <si>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</si>
  <si>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</si>
  <si>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</si>
  <si>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</si>
  <si>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</si>
  <si>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</si>
  <si>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</si>
  <si>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</si>
  <si>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</si>
  <si>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</si>
  <si>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</si>
  <si>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</si>
  <si>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</si>
  <si>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</si>
  <si>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</si>
  <si>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</si>
  <si>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</si>
  <si>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</si>
  <si>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</si>
  <si>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</si>
  <si>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</si>
  <si>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</si>
  <si>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</si>
  <si>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</si>
  <si>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</si>
  <si>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</si>
  <si>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</si>
  <si>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</si>
  <si>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</si>
  <si>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</si>
  <si>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</si>
  <si>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</si>
  <si>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</si>
  <si>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</si>
  <si>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</si>
  <si>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</si>
  <si>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</si>
  <si>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</si>
  <si>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</si>
  <si>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</si>
  <si>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</si>
  <si>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</si>
  <si>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</si>
  <si>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</si>
  <si>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</si>
  <si>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</si>
  <si>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</si>
  <si>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</si>
  <si>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</si>
  <si>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</si>
  <si>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</si>
  <si>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</si>
  <si>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</si>
  <si>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</si>
  <si>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</si>
  <si>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</si>
  <si>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</si>
  <si>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</si>
  <si>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</si>
  <si>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</si>
  <si>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</si>
  <si>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</si>
  <si>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</si>
  <si>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</si>
  <si>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</si>
  <si>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</si>
  <si>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</si>
  <si>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</si>
  <si>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</si>
  <si>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</si>
  <si>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</si>
  <si>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</si>
  <si>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</si>
  <si>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</si>
  <si>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</si>
  <si>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</si>
  <si>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</si>
  <si>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</si>
  <si>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</si>
  <si>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</si>
  <si>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</si>
  <si>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</si>
  <si>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</si>
  <si>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</si>
  <si>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</si>
  <si>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</si>
  <si>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</si>
  <si>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</si>
  <si>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</si>
  <si>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</si>
  <si>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</si>
  <si>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</si>
  <si>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</si>
  <si>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</si>
  <si>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</si>
  <si>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</si>
  <si>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</si>
  <si>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</si>
  <si>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</si>
  <si>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</si>
  <si>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</si>
  <si>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</si>
  <si>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</si>
  <si>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</si>
  <si>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</si>
  <si>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</si>
  <si>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</si>
  <si>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</si>
  <si>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</si>
  <si>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</si>
  <si>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</si>
  <si>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</si>
  <si>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</si>
  <si>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</si>
  <si>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</si>
  <si>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</si>
  <si>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</si>
  <si>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</si>
  <si>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</si>
  <si>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</si>
  <si>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</si>
  <si>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</si>
  <si>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</si>
  <si>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</si>
  <si>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</si>
  <si>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</si>
  <si>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</si>
  <si>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</si>
  <si>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</si>
  <si>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</si>
  <si>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</si>
  <si>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</si>
  <si>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</si>
  <si>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</si>
  <si>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</si>
  <si>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</si>
  <si>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</si>
  <si>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</si>
  <si>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</si>
  <si>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</si>
  <si>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</si>
  <si>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</si>
  <si>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</si>
  <si>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</si>
  <si>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</si>
  <si>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</si>
  <si>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</si>
  <si>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</si>
  <si>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</si>
  <si>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</si>
  <si>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</si>
  <si>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</si>
  <si>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</si>
  <si>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</si>
  <si>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</si>
  <si>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</si>
  <si>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</si>
  <si>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</si>
  <si>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</si>
  <si>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</si>
  <si>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</si>
  <si>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</si>
  <si>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</si>
  <si>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</si>
  <si>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</si>
  <si>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</si>
  <si>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</si>
  <si>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</si>
  <si>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</si>
  <si>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</si>
  <si>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</si>
  <si>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</si>
  <si>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</si>
  <si>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</si>
  <si>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</si>
  <si>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</si>
  <si>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</si>
  <si>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</si>
  <si>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</si>
  <si>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</si>
  <si>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</si>
  <si>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</si>
  <si>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</si>
  <si>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</si>
  <si>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</si>
  <si>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</si>
  <si>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</si>
  <si>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</si>
  <si>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</si>
  <si>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</si>
  <si>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</si>
  <si>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</si>
  <si>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</si>
  <si>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</si>
  <si>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</si>
  <si>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</si>
  <si>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</si>
  <si>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</si>
  <si>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</si>
  <si>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</si>
  <si>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</si>
  <si>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</si>
  <si>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</si>
  <si>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</si>
  <si>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</si>
  <si>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</si>
  <si>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</si>
  <si>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</si>
  <si>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</si>
  <si>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</si>
  <si>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</si>
  <si>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</si>
  <si>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</si>
  <si>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</si>
  <si>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</si>
  <si>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</si>
  <si>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</si>
  <si>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</si>
  <si>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</si>
  <si>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</si>
  <si>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</si>
  <si>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</si>
  <si>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</si>
  <si>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</si>
  <si>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</si>
  <si>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</si>
  <si>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</si>
  <si>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</si>
  <si>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</si>
  <si>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</si>
  <si>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</si>
  <si>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</si>
  <si>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</si>
  <si>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</si>
  <si>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</si>
  <si>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</si>
  <si>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</si>
  <si>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</si>
  <si>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</si>
  <si>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</si>
  <si>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</si>
  <si>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</si>
  <si>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</si>
  <si>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</si>
  <si>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</si>
  <si>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</si>
  <si>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</si>
  <si>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</si>
  <si>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</si>
  <si>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</si>
  <si>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</si>
  <si>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</si>
  <si>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</si>
  <si>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</si>
  <si>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</si>
  <si>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</si>
  <si>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</si>
  <si>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</si>
  <si>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</si>
  <si>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</si>
  <si>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</si>
  <si>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</si>
  <si>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</si>
  <si>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</si>
  <si>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</si>
  <si>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</si>
  <si>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</si>
  <si>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</si>
  <si>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</si>
  <si>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</si>
  <si>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</si>
  <si>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</si>
  <si>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</si>
  <si>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</si>
  <si>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</si>
  <si>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</si>
  <si>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</si>
  <si>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</si>
  <si>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</si>
  <si>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</si>
  <si>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</si>
  <si>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</si>
  <si>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</si>
  <si>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</si>
  <si>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</si>
  <si>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</si>
  <si>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</si>
  <si>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</si>
  <si>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</si>
  <si>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</si>
  <si>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</si>
  <si>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</si>
  <si>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</si>
  <si>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</si>
  <si>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</si>
  <si>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</si>
  <si>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</si>
  <si>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</si>
  <si>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</si>
  <si>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</si>
  <si>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</si>
  <si>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</si>
  <si>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</si>
  <si>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</si>
  <si>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</si>
  <si>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</si>
  <si>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</si>
  <si>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</si>
  <si>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</si>
  <si>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</si>
  <si>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</si>
  <si>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</si>
  <si>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</si>
  <si>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</si>
  <si>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</si>
  <si>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</si>
  <si>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</si>
  <si>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</si>
  <si>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</si>
  <si>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</si>
  <si>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</si>
  <si>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</si>
  <si>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</si>
  <si>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</si>
  <si>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</si>
  <si>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</si>
  <si>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</si>
  <si>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</si>
  <si>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</si>
  <si>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</si>
  <si>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</si>
  <si>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</si>
  <si>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</si>
  <si>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</si>
  <si>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</si>
  <si>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</si>
  <si>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</si>
  <si>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</si>
  <si>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</si>
  <si>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</si>
  <si>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</si>
  <si>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</si>
  <si>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</si>
  <si>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</si>
  <si>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</si>
  <si>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</si>
  <si>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</si>
  <si>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</si>
  <si>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</si>
  <si>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</si>
  <si>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</si>
  <si>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</si>
  <si>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</si>
  <si>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</si>
  <si>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</si>
  <si>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</si>
  <si>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</si>
  <si>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</si>
  <si>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</si>
  <si>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</si>
  <si>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</si>
  <si>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</si>
  <si>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</si>
  <si>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</si>
  <si>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</si>
  <si>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</si>
  <si>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</si>
  <si>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</si>
  <si>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</si>
  <si>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</si>
  <si>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</si>
  <si>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</si>
  <si>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</si>
  <si>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</si>
  <si>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</si>
  <si>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</si>
  <si>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</si>
  <si>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</si>
  <si>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</si>
  <si>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</si>
  <si>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</si>
  <si>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</si>
  <si>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</si>
  <si>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</si>
  <si>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</si>
  <si>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</si>
  <si>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</si>
  <si>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</si>
  <si>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</si>
  <si>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</si>
  <si>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</si>
  <si>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</si>
  <si>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</si>
  <si>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</si>
  <si>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</si>
  <si>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</si>
  <si>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</si>
  <si>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</si>
  <si>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</si>
  <si>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</si>
  <si>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</si>
  <si>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</si>
  <si>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</si>
  <si>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</si>
  <si>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</si>
  <si>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</si>
  <si>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</si>
  <si>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</si>
  <si>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</si>
  <si>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</si>
  <si>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</si>
  <si>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</si>
  <si>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</si>
  <si>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</si>
  <si>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</si>
  <si>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</si>
  <si>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</si>
  <si>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</si>
  <si>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</si>
  <si>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</si>
  <si>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</si>
  <si>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</si>
  <si>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</si>
  <si>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</si>
  <si>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</si>
  <si>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</si>
  <si>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</si>
  <si>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</si>
  <si>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</si>
  <si>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</si>
  <si>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</si>
  <si>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</si>
  <si>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</si>
  <si>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</si>
  <si>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</si>
  <si>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</si>
  <si>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</si>
  <si>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</si>
  <si>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</si>
  <si>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</si>
  <si>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</si>
  <si>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</si>
  <si>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</si>
  <si>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</si>
  <si>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</si>
  <si>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</si>
  <si>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</si>
  <si>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</si>
  <si>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</si>
  <si>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</si>
  <si>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</si>
  <si>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</si>
  <si>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</si>
  <si>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</si>
  <si>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</si>
  <si>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</si>
  <si>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</si>
  <si>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</si>
  <si>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</si>
  <si>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</si>
  <si>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</si>
  <si>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</si>
  <si>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</si>
  <si>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</si>
  <si>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</si>
  <si>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</si>
  <si>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</si>
  <si>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</si>
  <si>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</si>
  <si>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</si>
  <si>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</si>
  <si>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</si>
  <si>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</si>
  <si>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</si>
  <si>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</si>
  <si>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</si>
  <si>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</si>
  <si>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</si>
  <si>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</si>
  <si>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</si>
  <si>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</si>
  <si>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</si>
  <si>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</si>
  <si>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</si>
  <si>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</si>
  <si>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</si>
  <si>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</si>
  <si>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</si>
  <si>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</si>
  <si>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</si>
  <si>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</si>
  <si>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</si>
  <si>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</si>
  <si>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</si>
  <si>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</si>
  <si>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</si>
  <si>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</si>
  <si>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</si>
  <si>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</si>
  <si>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</si>
  <si>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</si>
  <si>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</si>
  <si>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</si>
  <si>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</si>
  <si>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</si>
  <si>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</si>
  <si>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</si>
  <si>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</si>
  <si>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</si>
  <si>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</si>
  <si>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</si>
  <si>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</si>
  <si>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</si>
  <si>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</si>
  <si>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</si>
  <si>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</si>
  <si>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</si>
  <si>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</si>
  <si>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</si>
  <si>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</si>
  <si>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</si>
  <si>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</si>
  <si>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</si>
  <si>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</si>
  <si>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</si>
  <si>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</si>
  <si>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</si>
  <si>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</si>
  <si>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</si>
  <si>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</si>
  <si>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</si>
  <si>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</si>
  <si>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</si>
  <si>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</si>
  <si>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</si>
  <si>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</si>
  <si>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</si>
  <si>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</si>
  <si>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</si>
  <si>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</si>
  <si>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</si>
  <si>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</si>
  <si>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</si>
  <si>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</si>
  <si>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</si>
  <si>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</si>
  <si>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</si>
  <si>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</si>
  <si>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</si>
  <si>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</si>
  <si>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</si>
  <si>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</si>
  <si>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</si>
  <si>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</si>
  <si>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</si>
  <si>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</si>
  <si>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</si>
  <si>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</si>
  <si>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</si>
  <si>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</si>
  <si>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</si>
  <si>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</si>
  <si>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</si>
  <si>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</si>
  <si>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</si>
  <si>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</si>
  <si>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</si>
  <si>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</si>
  <si>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</si>
  <si>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</si>
  <si>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</si>
  <si>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</si>
  <si>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</si>
  <si>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</si>
  <si>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</si>
  <si>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</si>
  <si>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</si>
  <si>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</si>
  <si>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</si>
  <si>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</si>
  <si>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</si>
  <si>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</si>
  <si>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</si>
  <si>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</si>
  <si>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</si>
  <si>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</si>
  <si>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</si>
  <si>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</si>
  <si>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</si>
  <si>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</si>
  <si>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</si>
  <si>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</si>
  <si>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</si>
  <si>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</si>
  <si>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</si>
  <si>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</si>
  <si>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</si>
  <si>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</si>
  <si>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</si>
  <si>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</si>
  <si>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</si>
  <si>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</si>
  <si>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</si>
  <si>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</si>
  <si>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</si>
  <si>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</si>
  <si>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</si>
  <si>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</si>
  <si>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</si>
  <si>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</si>
  <si>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</si>
  <si>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</si>
  <si>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</si>
  <si>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</si>
  <si>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</si>
  <si>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</si>
  <si>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</si>
  <si>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</si>
  <si>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</si>
  <si>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</si>
  <si>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</si>
  <si>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</si>
  <si>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</si>
  <si>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</si>
  <si>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</si>
  <si>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</si>
  <si>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</si>
  <si>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</si>
  <si>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</si>
  <si>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</si>
  <si>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</si>
  <si>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</si>
  <si>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</si>
  <si>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</si>
  <si>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</si>
  <si>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</si>
  <si>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</si>
  <si>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</si>
  <si>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</si>
  <si>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</si>
  <si>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</si>
  <si>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</si>
  <si>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</si>
  <si>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</si>
  <si>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</si>
  <si>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</si>
  <si>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</si>
  <si>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</si>
  <si>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</si>
  <si>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</si>
  <si>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</si>
  <si>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</si>
  <si>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</si>
  <si>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</si>
  <si>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</si>
  <si>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</si>
  <si>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</si>
  <si>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</si>
  <si>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</si>
  <si>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</si>
  <si>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</si>
  <si>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</si>
  <si>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</si>
  <si>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</si>
  <si>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</si>
  <si>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</si>
  <si>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</si>
  <si>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</si>
  <si>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</si>
  <si>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</si>
  <si>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</si>
  <si>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</si>
  <si>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</si>
  <si>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</si>
  <si>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</si>
  <si>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</si>
  <si>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</si>
  <si>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</si>
  <si>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</si>
  <si>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</si>
  <si>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</si>
  <si>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</si>
  <si>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</si>
  <si>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</si>
  <si>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</si>
  <si>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</si>
  <si>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</si>
  <si>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</si>
  <si>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</si>
  <si>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</si>
  <si>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</si>
  <si>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</si>
  <si>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</si>
  <si>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</si>
  <si>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</si>
  <si>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</si>
  <si>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</si>
  <si>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</si>
  <si>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</si>
  <si>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</si>
  <si>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</si>
  <si>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</si>
  <si>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</si>
  <si>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</si>
  <si>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</si>
  <si>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</si>
  <si>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</si>
  <si>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</si>
  <si>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</si>
  <si>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</si>
  <si>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</si>
  <si>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</si>
  <si>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</si>
  <si>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</si>
  <si>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</si>
  <si>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</si>
  <si>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</si>
  <si>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</si>
  <si>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</si>
  <si>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</si>
  <si>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</si>
  <si>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</si>
  <si>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</si>
  <si>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</si>
  <si>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</si>
  <si>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</si>
  <si>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</si>
  <si>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</si>
  <si>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</si>
  <si>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</si>
  <si>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</si>
  <si>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</si>
  <si>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</si>
  <si>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</si>
  <si>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</si>
  <si>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</si>
  <si>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</si>
  <si>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</si>
  <si>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</si>
  <si>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</si>
  <si>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</si>
  <si>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</si>
  <si>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</si>
  <si>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</si>
  <si>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</si>
  <si>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</si>
  <si>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</si>
  <si>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</si>
  <si>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</si>
  <si>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</si>
  <si>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</si>
  <si>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</si>
  <si>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</si>
  <si>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</si>
  <si>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</si>
  <si>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</si>
  <si>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</si>
  <si>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</si>
  <si>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</si>
  <si>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</si>
  <si>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</si>
  <si>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</si>
  <si>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</si>
  <si>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</si>
  <si>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</si>
  <si>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</si>
  <si>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</si>
  <si>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</si>
  <si>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</si>
  <si>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</si>
  <si>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</si>
  <si>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</si>
  <si>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</si>
  <si>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</si>
  <si>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</si>
  <si>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</si>
  <si>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</si>
  <si>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</si>
  <si>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</si>
  <si>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</si>
  <si>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</si>
  <si>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</si>
  <si>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</si>
  <si>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</si>
  <si>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</si>
  <si>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</si>
  <si>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</si>
  <si>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</si>
  <si>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</si>
  <si>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</si>
  <si>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</si>
  <si>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</si>
  <si>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</si>
  <si>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</si>
  <si>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</si>
  <si>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</si>
  <si>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</si>
  <si>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</si>
  <si>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</si>
  <si>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</si>
  <si>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</si>
  <si>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</si>
  <si>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</si>
  <si>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</si>
  <si>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</si>
  <si>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</si>
  <si>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</si>
  <si>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</si>
  <si>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</si>
  <si>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</si>
  <si>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</si>
  <si>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</si>
  <si>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</si>
  <si>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</si>
  <si>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</si>
  <si>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</si>
  <si>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</si>
  <si>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</si>
  <si>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</si>
  <si>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</si>
  <si>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</si>
  <si>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</si>
  <si>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</si>
  <si>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</si>
  <si>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</si>
  <si>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</si>
  <si>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</si>
  <si>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</si>
  <si>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</si>
  <si>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</si>
  <si>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</si>
  <si>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</si>
  <si>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</si>
  <si>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</si>
  <si>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</si>
  <si>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</si>
  <si>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</si>
  <si>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</si>
  <si>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</si>
  <si>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</si>
  <si>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</si>
  <si>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</si>
  <si>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</si>
  <si>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</si>
  <si>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</si>
  <si>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</si>
  <si>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</si>
  <si>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</si>
  <si>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</si>
  <si>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</si>
  <si>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</si>
  <si>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</si>
  <si>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</si>
  <si>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</si>
  <si>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</si>
  <si>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</si>
  <si>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</si>
  <si>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</si>
  <si>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</si>
  <si>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</si>
  <si>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</si>
  <si>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</si>
  <si>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</si>
  <si>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</si>
  <si>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</si>
  <si>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</si>
  <si>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</si>
  <si>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</si>
  <si>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</si>
  <si>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</si>
  <si>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</si>
  <si>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</si>
  <si>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</si>
  <si>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</si>
  <si>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</si>
  <si>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</si>
  <si>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</si>
  <si>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</si>
  <si>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</si>
  <si>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</si>
  <si>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</si>
  <si>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</si>
  <si>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</si>
  <si>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</si>
  <si>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</si>
  <si>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</si>
  <si>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</si>
  <si>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</si>
  <si>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</si>
  <si>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</si>
  <si>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</si>
  <si>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</si>
  <si>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</si>
  <si>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</si>
  <si>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</si>
  <si>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</si>
  <si>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</si>
  <si>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</si>
  <si>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</si>
  <si>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</si>
  <si>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</si>
  <si>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</si>
  <si>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</si>
  <si>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</si>
  <si>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</si>
  <si>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</si>
  <si>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</si>
  <si>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</si>
  <si>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</si>
  <si>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</si>
  <si>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</si>
  <si>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</si>
  <si>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</si>
  <si>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</si>
  <si>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</si>
  <si>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</si>
  <si>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</si>
  <si>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</si>
  <si>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</si>
  <si>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</si>
  <si>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</si>
  <si>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</si>
  <si>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</si>
  <si>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</si>
  <si>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</si>
  <si>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</si>
  <si>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</si>
  <si>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</si>
  <si>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</si>
  <si>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</si>
  <si>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</si>
  <si>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</si>
  <si>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</si>
  <si>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</si>
  <si>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</si>
  <si>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</si>
  <si>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</si>
  <si>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</si>
  <si>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</si>
  <si>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</si>
  <si>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</si>
  <si>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</si>
  <si>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</si>
  <si>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</si>
  <si>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</si>
  <si>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</si>
  <si>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</si>
  <si>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</si>
  <si>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</si>
  <si>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</si>
  <si>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</si>
  <si>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</si>
  <si>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</si>
  <si>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</si>
  <si>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</si>
  <si>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</si>
  <si>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</si>
  <si>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</si>
  <si>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</si>
  <si>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</si>
  <si>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</si>
  <si>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</si>
  <si>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</si>
  <si>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</si>
  <si>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</si>
  <si>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</si>
  <si>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</si>
  <si>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</si>
  <si>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</si>
  <si>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</si>
  <si>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</si>
  <si>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</si>
  <si>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</si>
  <si>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</si>
  <si>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</si>
  <si>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</si>
  <si>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</si>
  <si>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</si>
  <si>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</si>
  <si>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</si>
  <si>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</si>
  <si>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</si>
  <si>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</si>
  <si>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</si>
  <si>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</si>
  <si>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</si>
  <si>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</si>
  <si>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</si>
  <si>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</si>
  <si>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</si>
  <si>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</si>
  <si>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</si>
  <si>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</si>
  <si>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</si>
  <si>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</si>
  <si>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</si>
  <si>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</si>
  <si>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</si>
  <si>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</si>
  <si>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</si>
  <si>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</si>
  <si>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</si>
  <si>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</si>
  <si>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</si>
  <si>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</si>
  <si>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</si>
  <si>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</si>
  <si>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</si>
  <si>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</si>
  <si>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</si>
  <si>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</si>
  <si>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</si>
  <si>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</si>
  <si>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</si>
  <si>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</si>
  <si>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</si>
  <si>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</si>
  <si>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</si>
  <si>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</si>
  <si>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</si>
  <si>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</si>
  <si>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</si>
  <si>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</si>
  <si>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</si>
  <si>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</si>
  <si>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</si>
  <si>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</si>
  <si>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</si>
  <si>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</si>
  <si>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</si>
  <si>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</si>
  <si>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</si>
  <si>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</si>
  <si>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</si>
  <si>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</si>
  <si>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</si>
  <si>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</si>
  <si>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</si>
  <si>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</si>
  <si>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</si>
  <si>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</si>
  <si>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</si>
  <si>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</si>
  <si>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</si>
  <si>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</si>
  <si>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</si>
  <si>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</si>
  <si>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</si>
  <si>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</si>
  <si>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</si>
  <si>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</si>
  <si>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</si>
  <si>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</si>
  <si>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</si>
  <si>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</si>
  <si>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</si>
  <si>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</si>
  <si>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</si>
  <si>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</si>
  <si>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</si>
  <si>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</si>
  <si>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</si>
  <si>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</si>
  <si>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</si>
  <si>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</si>
  <si>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</si>
  <si>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</si>
  <si>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</si>
  <si>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</si>
  <si>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</si>
  <si>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</si>
  <si>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</si>
  <si>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</si>
  <si>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</si>
  <si>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</si>
  <si>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</si>
  <si>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</si>
  <si>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</si>
  <si>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</si>
  <si>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</si>
  <si>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</si>
  <si>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</si>
  <si>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</si>
  <si>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</si>
  <si>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</si>
  <si>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</si>
  <si>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</si>
  <si>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</si>
  <si>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</si>
  <si>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</si>
  <si>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</si>
  <si>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</si>
  <si>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</si>
  <si>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</si>
  <si>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</si>
  <si>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</si>
  <si>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</si>
  <si>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</si>
  <si>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</si>
  <si>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</si>
  <si>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</si>
  <si>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</si>
  <si>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</si>
  <si>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</si>
  <si>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</si>
  <si>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</si>
  <si>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</si>
  <si>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</si>
  <si>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</si>
  <si>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</si>
  <si>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</si>
  <si>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</si>
  <si>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</si>
  <si>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</si>
  <si>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</si>
  <si>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</si>
  <si>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</si>
  <si>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</si>
  <si>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</si>
  <si>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</si>
  <si>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</si>
  <si>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</si>
  <si>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</si>
  <si>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</si>
  <si>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</si>
  <si>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</si>
  <si>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</si>
  <si>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</si>
  <si>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</si>
  <si>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</si>
  <si>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</si>
  <si>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</si>
  <si>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</si>
  <si>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</si>
  <si>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</si>
  <si>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</si>
  <si>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</si>
  <si>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</si>
  <si>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</si>
  <si>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</si>
  <si>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</si>
  <si>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</si>
  <si>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</si>
  <si>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</si>
  <si>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</si>
  <si>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</si>
  <si>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</si>
  <si>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</si>
  <si>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</si>
  <si>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</si>
  <si>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</si>
  <si>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</si>
  <si>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</si>
  <si>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</si>
  <si>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</si>
  <si>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</si>
  <si>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</si>
  <si>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</si>
  <si>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</si>
  <si>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</si>
  <si>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</si>
  <si>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</si>
  <si>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</si>
  <si>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</si>
  <si>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</si>
  <si>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</si>
  <si>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</si>
  <si>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</si>
  <si>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</si>
  <si>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</si>
  <si>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</si>
  <si>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</si>
  <si>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</si>
  <si>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</si>
  <si>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</si>
  <si>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</si>
  <si>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</si>
  <si>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</si>
  <si>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</si>
  <si>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</si>
  <si>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</si>
  <si>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</si>
  <si>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</si>
  <si>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</si>
  <si>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</si>
  <si>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</si>
  <si>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</si>
  <si>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</si>
  <si>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</si>
  <si>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</si>
  <si>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</si>
  <si>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</si>
  <si>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</si>
  <si>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</si>
  <si>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</si>
  <si>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</si>
  <si>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</si>
  <si>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</si>
  <si>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</si>
  <si>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</si>
  <si>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</si>
  <si>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</si>
  <si>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</si>
  <si>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</si>
  <si>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</si>
  <si>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</si>
  <si>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</si>
  <si>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</si>
  <si>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</si>
  <si>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</si>
  <si>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</si>
  <si>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</si>
  <si>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</si>
  <si>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</si>
  <si>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</si>
  <si>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</si>
  <si>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</si>
  <si>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</si>
  <si>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</si>
  <si>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</si>
  <si>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</si>
  <si>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</si>
  <si>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</si>
  <si>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</si>
  <si>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</si>
  <si>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</si>
  <si>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</si>
  <si>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</si>
  <si>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</si>
  <si>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</si>
  <si>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</si>
  <si>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</si>
  <si>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</si>
  <si>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</si>
  <si>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</si>
  <si>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</si>
  <si>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</si>
  <si>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</si>
  <si>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</si>
  <si>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</si>
  <si>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</si>
  <si>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</si>
  <si>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</si>
  <si>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</si>
  <si>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</si>
  <si>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</si>
  <si>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</si>
  <si>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</si>
  <si>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</si>
  <si>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</si>
  <si>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</si>
  <si>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</si>
  <si>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</si>
  <si>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</si>
  <si>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</si>
  <si>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</si>
  <si>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</si>
  <si>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</si>
  <si>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</si>
  <si>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</si>
  <si>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</si>
  <si>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</si>
  <si>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</si>
  <si>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</si>
  <si>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</si>
  <si>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</si>
  <si>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</si>
  <si>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</si>
  <si>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</si>
  <si>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</si>
  <si>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</si>
  <si>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</si>
  <si>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</si>
  <si>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</si>
  <si>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</si>
  <si>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</si>
  <si>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</si>
  <si>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</si>
  <si>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</si>
  <si>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</si>
  <si>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</si>
  <si>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</si>
  <si>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</si>
  <si>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</si>
  <si>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</si>
  <si>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</si>
  <si>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</si>
  <si>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</si>
  <si>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</si>
  <si>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</si>
  <si>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</si>
  <si>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</si>
  <si>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</si>
  <si>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</si>
  <si>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</si>
  <si>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</si>
  <si>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</si>
  <si>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</si>
  <si>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</si>
  <si>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</si>
  <si>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</si>
  <si>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</si>
  <si>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</si>
  <si>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</si>
  <si>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</si>
  <si>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</si>
  <si>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</si>
  <si>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</si>
  <si>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</si>
  <si>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</si>
  <si>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</si>
  <si>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</si>
  <si>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</si>
  <si>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</si>
  <si>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</si>
  <si>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</si>
  <si>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</si>
  <si>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</si>
  <si>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</si>
  <si>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</si>
  <si>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</si>
  <si>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</si>
  <si>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</si>
  <si>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</si>
  <si>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</si>
  <si>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</si>
  <si>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</si>
  <si>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</si>
  <si>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</si>
  <si>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</si>
  <si>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</si>
  <si>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</si>
  <si>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</si>
  <si>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</si>
  <si>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</si>
  <si>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</si>
  <si>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</si>
  <si>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</si>
  <si>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</si>
  <si>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</si>
  <si>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</si>
  <si>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</si>
  <si>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</si>
  <si>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</si>
  <si>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</si>
  <si>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</si>
  <si>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</si>
  <si>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</si>
  <si>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</si>
  <si>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</si>
  <si>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</si>
  <si>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</si>
  <si>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</si>
  <si>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</si>
  <si>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</si>
  <si>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</si>
  <si>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</si>
  <si>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</si>
  <si>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</si>
  <si>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</si>
  <si>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</si>
  <si>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</si>
  <si>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</si>
  <si>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</si>
  <si>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</si>
  <si>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</si>
  <si>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</si>
  <si>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</si>
  <si>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</si>
  <si>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</si>
  <si>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</si>
  <si>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</si>
  <si>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</si>
  <si>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</si>
  <si>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</si>
  <si>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</si>
  <si>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</si>
  <si>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</si>
  <si>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</si>
  <si>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</si>
  <si>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</si>
  <si>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</si>
  <si>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</si>
  <si>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</si>
  <si>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</si>
  <si>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</si>
  <si>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</si>
  <si>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</si>
  <si>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</si>
  <si>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</si>
  <si>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</si>
  <si>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</si>
  <si>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</si>
  <si>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</si>
  <si>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</si>
  <si>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</si>
  <si>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</si>
  <si>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</si>
  <si>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</si>
  <si>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</si>
  <si>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</si>
  <si>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</si>
  <si>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</si>
  <si>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</si>
  <si>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</si>
  <si>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</si>
  <si>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</si>
  <si>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</si>
  <si>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</si>
  <si>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</si>
  <si>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</si>
  <si>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</si>
  <si>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</si>
  <si>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</si>
  <si>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</si>
  <si>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</si>
  <si>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</si>
  <si>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</si>
  <si>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</si>
  <si>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</si>
  <si>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</si>
  <si>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</si>
  <si>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</si>
  <si>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</si>
  <si>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</si>
  <si>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</si>
  <si>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</si>
  <si>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</si>
  <si>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</si>
  <si>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</si>
  <si>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</si>
  <si>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</si>
  <si>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</si>
  <si>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</si>
  <si>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</si>
  <si>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</si>
  <si>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</si>
  <si>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</si>
  <si>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</si>
  <si>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</si>
  <si>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</si>
  <si>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</si>
  <si>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</si>
  <si>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</si>
  <si>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</si>
  <si>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</si>
  <si>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</si>
  <si>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</si>
  <si>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</si>
  <si>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</si>
  <si>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</si>
  <si>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</si>
  <si>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</si>
  <si>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</si>
  <si>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</si>
  <si>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</si>
  <si>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</si>
  <si>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</si>
  <si>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</si>
  <si>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</si>
  <si>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</si>
  <si>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</si>
  <si>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</si>
  <si>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</si>
  <si>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</si>
  <si>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</si>
  <si>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</si>
  <si>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</si>
  <si>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</si>
  <si>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</si>
  <si>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</si>
  <si>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</si>
  <si>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</si>
  <si>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</si>
  <si>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</si>
  <si>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</si>
  <si>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</si>
  <si>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</si>
  <si>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</si>
  <si>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</si>
  <si>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</si>
  <si>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</si>
  <si>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</si>
  <si>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</si>
  <si>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</si>
  <si>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</si>
  <si>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</si>
  <si>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</si>
  <si>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</si>
  <si>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</si>
  <si>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</si>
  <si>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</si>
  <si>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</si>
  <si>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</si>
  <si>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</si>
  <si>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</si>
  <si>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</si>
  <si>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</si>
  <si>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</si>
  <si>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</si>
  <si>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</si>
  <si>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</si>
  <si>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</si>
  <si>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</si>
  <si>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</si>
  <si>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</si>
  <si>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</si>
  <si>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</si>
  <si>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</si>
  <si>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</si>
  <si>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</si>
  <si>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</si>
  <si>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</si>
  <si>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</si>
  <si>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</si>
  <si>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</si>
  <si>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</si>
  <si>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</si>
  <si>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</si>
  <si>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</si>
  <si>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</si>
  <si>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</si>
  <si>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</si>
  <si>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</si>
  <si>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</si>
  <si>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</si>
  <si>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</si>
  <si>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</si>
  <si>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</si>
  <si>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</si>
  <si>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</si>
  <si>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</si>
  <si>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</si>
  <si>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</si>
  <si>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</si>
  <si>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</si>
  <si>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</si>
  <si>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</si>
  <si>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</si>
  <si>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</si>
  <si>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</si>
  <si>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</si>
  <si>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</si>
  <si>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</si>
  <si>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</si>
  <si>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</si>
  <si>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</si>
  <si>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</si>
  <si>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</si>
  <si>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</si>
  <si>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</si>
  <si>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</si>
  <si>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</si>
  <si>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</si>
  <si>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</si>
  <si>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</si>
  <si>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</si>
  <si>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</si>
  <si>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</si>
  <si>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</si>
  <si>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</si>
  <si>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</si>
  <si>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</si>
  <si>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</si>
  <si>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</si>
  <si>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</si>
  <si>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</si>
  <si>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</si>
  <si>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</si>
  <si>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</si>
  <si>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</si>
  <si>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</si>
  <si>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</si>
  <si>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</si>
  <si>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</si>
  <si>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</si>
  <si>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</si>
  <si>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</si>
  <si>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</si>
  <si>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</si>
  <si>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</si>
  <si>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</si>
  <si>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</si>
  <si>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</si>
  <si>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</si>
  <si>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</si>
  <si>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</si>
  <si>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</si>
  <si>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</si>
  <si>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</si>
  <si>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</si>
  <si>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</si>
  <si>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</si>
  <si>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</si>
  <si>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</si>
  <si>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</si>
  <si>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</si>
  <si>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</si>
  <si>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</si>
  <si>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</si>
  <si>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</si>
  <si>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</si>
  <si>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</si>
  <si>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</si>
  <si>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</si>
  <si>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</si>
  <si>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</si>
  <si>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</si>
  <si>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</si>
  <si>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</si>
  <si>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</si>
  <si>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</si>
  <si>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</si>
  <si>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</si>
  <si>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</si>
  <si>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</si>
  <si>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</si>
  <si>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</si>
  <si>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</si>
  <si>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</si>
  <si>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</si>
  <si>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</si>
  <si>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</si>
  <si>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</si>
  <si>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</si>
  <si>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</si>
  <si>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</si>
  <si>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</si>
  <si>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</si>
  <si>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</si>
  <si>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</si>
  <si>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</si>
  <si>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</si>
  <si>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</si>
  <si>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</si>
  <si>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</si>
  <si>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</si>
  <si>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</si>
  <si>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</si>
  <si>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</si>
  <si>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</si>
  <si>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</si>
  <si>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</si>
  <si>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</si>
  <si>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</si>
  <si>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</si>
  <si>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</si>
  <si>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</si>
  <si>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</si>
  <si>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</si>
  <si>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</si>
  <si>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</si>
  <si>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</si>
  <si>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</si>
  <si>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</si>
  <si>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</si>
  <si>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</si>
  <si>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</si>
  <si>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</si>
  <si>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</si>
  <si>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</si>
  <si>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</si>
  <si>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</si>
  <si>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</si>
  <si>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</si>
  <si>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</si>
  <si>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</si>
  <si>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</si>
  <si>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</si>
  <si>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</si>
  <si>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</si>
  <si>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</si>
  <si>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</si>
  <si>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</si>
  <si>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</si>
  <si>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</si>
  <si>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</si>
  <si>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</si>
  <si>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</si>
  <si>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</si>
  <si>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</si>
  <si>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</si>
  <si>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</si>
  <si>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</si>
  <si>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</si>
  <si>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</si>
  <si>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</si>
  <si>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</si>
  <si>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</si>
  <si>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</si>
  <si>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</si>
  <si>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</si>
  <si>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</si>
  <si>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</si>
  <si>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</si>
  <si>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</si>
  <si>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</si>
  <si>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</si>
  <si>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</si>
  <si>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</si>
  <si>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</si>
  <si>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</si>
  <si>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</si>
  <si>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</si>
  <si>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</si>
  <si>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</si>
  <si>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</si>
  <si>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</si>
  <si>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</si>
  <si>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</si>
  <si>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</si>
  <si>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</si>
  <si>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</si>
  <si>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</si>
  <si>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</si>
  <si>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</si>
  <si>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</si>
  <si>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</si>
  <si>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</si>
  <si>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</si>
  <si>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</si>
  <si>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</si>
  <si>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</si>
  <si>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</si>
  <si>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</si>
  <si>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</si>
  <si>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</si>
  <si>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</si>
  <si>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</si>
  <si>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</si>
  <si>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</si>
  <si>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</si>
  <si>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</si>
  <si>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</si>
  <si>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</si>
  <si>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</si>
  <si>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</si>
  <si>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</si>
  <si>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</si>
  <si>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</si>
  <si>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</si>
  <si>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</si>
  <si>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</si>
  <si>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</si>
  <si>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</si>
  <si>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</si>
  <si>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</si>
  <si>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</si>
  <si>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</si>
  <si>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</si>
  <si>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</si>
  <si>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</si>
  <si>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</si>
  <si>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</si>
  <si>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</si>
  <si>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</si>
  <si>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</si>
  <si>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</si>
  <si>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</si>
  <si>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</si>
  <si>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</si>
  <si>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</si>
  <si>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</si>
  <si>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</si>
  <si>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</si>
  <si>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</si>
  <si>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</si>
  <si>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</si>
  <si>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</si>
  <si>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</si>
  <si>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</si>
  <si>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</si>
  <si>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</si>
  <si>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</si>
  <si>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</si>
  <si>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</si>
  <si>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</si>
  <si>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</si>
  <si>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</si>
  <si>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</si>
  <si>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</si>
  <si>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</si>
  <si>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</si>
  <si>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</si>
  <si>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</si>
  <si>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</si>
  <si>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</si>
  <si>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</si>
  <si>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</si>
  <si>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</si>
  <si>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</si>
  <si>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</si>
  <si>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</si>
  <si>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</si>
  <si>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</si>
  <si>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</si>
  <si>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</si>
  <si>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</si>
  <si>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</si>
  <si>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</si>
  <si>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</si>
  <si>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</si>
  <si>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</si>
  <si>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</si>
  <si>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</si>
  <si>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</si>
  <si>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</si>
  <si>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</si>
  <si>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</si>
  <si>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</si>
  <si>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</si>
  <si>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</si>
  <si>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</si>
  <si>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</si>
  <si>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</si>
  <si>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</si>
  <si>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</si>
  <si>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</si>
  <si>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</si>
  <si>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</si>
  <si>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</si>
  <si>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</si>
  <si>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</si>
  <si>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</si>
  <si>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</si>
  <si>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</si>
  <si>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</si>
  <si>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</si>
  <si>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</si>
  <si>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</si>
  <si>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</si>
  <si>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</si>
  <si>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</si>
  <si>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</si>
  <si>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</si>
  <si>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</si>
  <si>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</si>
  <si>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</si>
  <si>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</si>
  <si>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</si>
  <si>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</si>
  <si>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</si>
  <si>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</si>
  <si>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</si>
  <si>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</si>
  <si>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</si>
  <si>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</si>
  <si>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</si>
  <si>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</si>
  <si>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</si>
  <si>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</si>
  <si>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</si>
  <si>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</si>
  <si>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</si>
  <si>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</si>
  <si>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</si>
  <si>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</si>
  <si>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</si>
  <si>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</si>
  <si>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</si>
  <si>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</si>
  <si>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</si>
  <si>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</si>
  <si>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</si>
  <si>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</si>
  <si>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</si>
  <si>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</si>
  <si>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</si>
  <si>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</si>
  <si>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</si>
  <si>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</si>
  <si>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</si>
  <si>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</si>
  <si>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</si>
  <si>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</si>
  <si>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</si>
  <si>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</si>
  <si>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</si>
  <si>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</si>
  <si>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</si>
  <si>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</si>
  <si>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</si>
  <si>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</si>
  <si>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</si>
  <si>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</si>
  <si>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</si>
  <si>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</si>
  <si>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</si>
  <si>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</si>
  <si>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</si>
  <si>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</si>
  <si>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</si>
  <si>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</si>
  <si>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</si>
  <si>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</si>
  <si>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</si>
  <si>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</si>
  <si>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</si>
  <si>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</si>
  <si>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</si>
  <si>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</si>
  <si>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</si>
  <si>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</si>
  <si>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</si>
  <si>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</si>
  <si>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</si>
  <si>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</si>
  <si>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</si>
  <si>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</si>
  <si>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</si>
  <si>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</si>
  <si>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</si>
  <si>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</si>
  <si>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</si>
  <si>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</si>
  <si>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</si>
  <si>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</si>
  <si>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</si>
  <si>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</si>
  <si>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</si>
  <si>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</si>
  <si>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</si>
  <si>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</si>
  <si>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</si>
  <si>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</si>
  <si>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</si>
  <si>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</si>
  <si>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</si>
  <si>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</si>
  <si>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</si>
  <si>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</si>
  <si>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</si>
  <si>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</si>
  <si>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</si>
  <si>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</si>
  <si>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</si>
  <si>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</si>
  <si>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</si>
  <si>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</si>
  <si>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</si>
  <si>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</si>
  <si>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</si>
  <si>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</si>
  <si>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</si>
  <si>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</si>
  <si>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</si>
  <si>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</si>
  <si>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</si>
  <si>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</si>
  <si>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</si>
  <si>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</si>
  <si>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</si>
  <si>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</si>
  <si>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</si>
  <si>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</si>
  <si>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</si>
  <si>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</si>
  <si>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</si>
  <si>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</si>
  <si>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</si>
  <si>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</si>
  <si>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</si>
  <si>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</si>
  <si>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</si>
  <si>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</si>
  <si>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</si>
  <si>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</si>
  <si>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</si>
  <si>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</si>
  <si>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</si>
  <si>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</si>
  <si>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</si>
  <si>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</si>
  <si>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</si>
  <si>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</si>
  <si>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</si>
  <si>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</si>
  <si>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</si>
  <si>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</si>
  <si>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</si>
  <si>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</si>
  <si>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</si>
  <si>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</si>
  <si>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</si>
  <si>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</si>
  <si>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</si>
  <si>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</si>
  <si>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</si>
  <si>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</si>
  <si>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</si>
  <si>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</si>
  <si>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</si>
  <si>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</si>
  <si>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</si>
  <si>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</si>
  <si>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</si>
  <si>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</si>
  <si>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</si>
  <si>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</si>
  <si>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</si>
  <si>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</si>
  <si>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</si>
  <si>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</si>
  <si>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</si>
  <si>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</si>
  <si>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</si>
  <si>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</si>
  <si>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</si>
  <si>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</si>
  <si>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</si>
  <si>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</si>
  <si>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</si>
  <si>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</si>
  <si>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</si>
  <si>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</si>
  <si>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</si>
  <si>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</si>
  <si>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</si>
  <si>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</si>
  <si>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</si>
  <si>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</si>
  <si>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</si>
  <si>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</si>
  <si>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</si>
  <si>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</si>
  <si>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</si>
  <si>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</si>
  <si>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</si>
  <si>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</si>
  <si>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</si>
  <si>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</si>
  <si>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</si>
  <si>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</si>
  <si>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</si>
  <si>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</si>
  <si>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</si>
  <si>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</si>
  <si>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</si>
  <si>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</si>
  <si>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</si>
  <si>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</si>
  <si>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</si>
  <si>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</si>
  <si>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</si>
  <si>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</si>
  <si>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</si>
  <si>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</si>
  <si>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</si>
  <si>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</si>
  <si>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</si>
  <si>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</si>
  <si>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</si>
  <si>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</si>
  <si>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</si>
  <si>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</si>
  <si>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</si>
  <si>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</si>
  <si>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</si>
  <si>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</si>
  <si>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</si>
  <si>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</si>
  <si>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</si>
  <si>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</si>
  <si>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</si>
  <si>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</si>
  <si>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</si>
  <si>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</si>
  <si>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</si>
  <si>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</si>
  <si>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</si>
  <si>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</si>
  <si>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</si>
  <si>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</si>
  <si>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</si>
  <si>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</si>
  <si>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</si>
  <si>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</si>
  <si>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</si>
  <si>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</si>
  <si>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</si>
  <si>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</si>
  <si>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</si>
  <si>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</si>
  <si>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</si>
  <si>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</si>
  <si>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</si>
  <si>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</si>
  <si>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</si>
  <si>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</si>
  <si>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</si>
  <si>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</si>
  <si>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</si>
  <si>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</si>
  <si>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</si>
  <si>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</si>
  <si>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</si>
  <si>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</si>
  <si>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</si>
  <si>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</si>
  <si>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</si>
  <si>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</si>
  <si>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</si>
  <si>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</si>
  <si>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</si>
  <si>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</si>
  <si>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</si>
  <si>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</si>
  <si>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</si>
  <si>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</si>
  <si>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</si>
  <si>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</si>
  <si>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</si>
  <si>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</si>
  <si>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</si>
  <si>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</si>
  <si>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</si>
  <si>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</si>
  <si>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</si>
  <si>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</si>
  <si>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</si>
  <si>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</si>
  <si>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</si>
  <si>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</si>
  <si>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</si>
  <si>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</si>
  <si>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</si>
  <si>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</si>
  <si>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</si>
  <si>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</si>
  <si>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</si>
  <si>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</si>
  <si>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</si>
  <si>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</si>
  <si>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</si>
  <si>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</si>
  <si>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</si>
  <si>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</si>
  <si>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</si>
  <si>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</si>
  <si>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</si>
  <si>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</si>
  <si>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</si>
  <si>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</si>
  <si>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</si>
  <si>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</si>
  <si>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</si>
  <si>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</si>
  <si>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</si>
  <si>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</si>
  <si>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</si>
  <si>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</si>
  <si>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</si>
  <si>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</si>
  <si>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</si>
  <si>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</si>
  <si>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</si>
  <si>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</si>
  <si>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</si>
  <si>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</si>
  <si>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</si>
  <si>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</si>
  <si>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</si>
  <si>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</si>
  <si>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</si>
  <si>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</si>
  <si>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</si>
  <si>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</si>
  <si>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</si>
  <si>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</si>
  <si>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</si>
  <si>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</si>
  <si>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</si>
  <si>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</si>
  <si>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</si>
  <si>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</si>
  <si>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</si>
  <si>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</si>
  <si>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</si>
  <si>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</si>
  <si>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</si>
  <si>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</si>
  <si>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</si>
  <si>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</si>
  <si>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</si>
  <si>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</si>
  <si>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</si>
  <si>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</si>
  <si>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</si>
  <si>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</si>
  <si>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</si>
  <si>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</si>
  <si>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</si>
  <si>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</si>
  <si>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</si>
  <si>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</si>
  <si>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</si>
  <si>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</si>
  <si>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</si>
  <si>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</si>
  <si>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</si>
  <si>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</si>
  <si>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</si>
  <si>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</si>
  <si>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</si>
  <si>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</si>
  <si>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</si>
  <si>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</si>
  <si>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</si>
  <si>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</si>
  <si>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</si>
  <si>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</si>
  <si>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</si>
  <si>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</si>
  <si>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</si>
  <si>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</si>
  <si>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</si>
  <si>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</si>
  <si>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</si>
  <si>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</si>
  <si>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</si>
  <si>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</si>
  <si>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</si>
  <si>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</si>
  <si>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</si>
  <si>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</si>
  <si>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</si>
  <si>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</si>
  <si>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</si>
  <si>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</si>
  <si>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</si>
  <si>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</si>
  <si>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</si>
  <si>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</si>
  <si>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</si>
  <si>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</si>
  <si>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</si>
  <si>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</si>
  <si>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</si>
  <si>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</si>
  <si>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</si>
  <si>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</si>
  <si>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</si>
  <si>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</si>
  <si>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</si>
  <si>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</si>
  <si>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</si>
  <si>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</si>
  <si>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</si>
  <si>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</si>
  <si>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</si>
  <si>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</si>
  <si>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</si>
  <si>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</si>
  <si>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</si>
  <si>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</si>
  <si>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</si>
  <si>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</si>
  <si>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</si>
  <si>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</si>
  <si>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</si>
  <si>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</si>
  <si>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</si>
  <si>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</si>
  <si>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</si>
  <si>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</si>
  <si>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</si>
  <si>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</si>
  <si>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</si>
  <si>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</si>
  <si>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</si>
  <si>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</si>
  <si>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</si>
  <si>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</si>
  <si>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</si>
  <si>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</si>
  <si>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</si>
  <si>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</si>
  <si>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</si>
  <si>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</si>
  <si>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</si>
  <si>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</si>
  <si>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</si>
  <si>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</si>
  <si>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</si>
  <si>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</si>
  <si>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</si>
  <si>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</si>
  <si>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</si>
  <si>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</si>
  <si>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</si>
  <si>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</si>
  <si>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</si>
  <si>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</si>
  <si>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</si>
  <si>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</si>
  <si>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</si>
  <si>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</si>
  <si>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</si>
  <si>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</si>
  <si>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</si>
  <si>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</si>
  <si>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</si>
  <si>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</si>
  <si>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</si>
  <si>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</si>
  <si>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</si>
  <si>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</si>
  <si>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</si>
  <si>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</si>
  <si>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</si>
  <si>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</si>
  <si>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</si>
  <si>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</si>
  <si>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</si>
  <si>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</si>
  <si>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</si>
  <si>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</si>
  <si>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</si>
  <si>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</si>
  <si>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</si>
  <si>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</si>
  <si>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</si>
  <si>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</si>
  <si>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</si>
  <si>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</si>
  <si>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</si>
  <si>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</si>
  <si>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</si>
  <si>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</si>
  <si>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</si>
  <si>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</si>
  <si>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</si>
  <si>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</si>
  <si>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</si>
  <si>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</si>
  <si>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</si>
  <si>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</si>
  <si>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</si>
  <si>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</si>
  <si>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</si>
  <si>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</si>
  <si>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</si>
  <si>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</si>
  <si>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</si>
  <si>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</si>
  <si>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</si>
  <si>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</si>
  <si>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</si>
  <si>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</si>
  <si>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</si>
  <si>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</si>
  <si>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</si>
  <si>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</si>
  <si>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</si>
  <si>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</si>
  <si>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</si>
  <si>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</si>
  <si>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</si>
  <si>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</si>
  <si>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</si>
  <si>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</si>
  <si>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</si>
  <si>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</si>
  <si>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</si>
  <si>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</si>
  <si>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</si>
  <si>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</si>
  <si>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</si>
  <si>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</si>
  <si>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</si>
  <si>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</si>
  <si>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</si>
  <si>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</si>
  <si>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</si>
  <si>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</si>
  <si>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</si>
  <si>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</si>
  <si>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</si>
  <si>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</si>
  <si>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</si>
  <si>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</si>
  <si>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</si>
  <si>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</si>
  <si>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</si>
  <si>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</si>
  <si>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</si>
  <si>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</si>
  <si>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</si>
  <si>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</si>
  <si>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</si>
  <si>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</si>
  <si>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</si>
  <si>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</si>
  <si>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</si>
  <si>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</si>
  <si>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</si>
  <si>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</si>
  <si>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</si>
  <si>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</si>
  <si>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</si>
  <si>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</si>
  <si>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</si>
  <si>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</si>
  <si>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</si>
  <si>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</si>
  <si>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</si>
  <si>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</si>
  <si>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</si>
  <si>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</si>
  <si>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</si>
  <si>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</si>
  <si>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</si>
  <si>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</si>
  <si>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</si>
  <si>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</si>
  <si>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</si>
  <si>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</si>
  <si>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</si>
  <si>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</si>
  <si>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</si>
  <si>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</si>
  <si>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</si>
  <si>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</si>
  <si>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</si>
  <si>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</si>
  <si>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</si>
  <si>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</si>
  <si>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</si>
  <si>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</si>
  <si>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</si>
  <si>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</si>
  <si>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</si>
  <si>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</si>
  <si>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</si>
  <si>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</si>
  <si>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</si>
  <si>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</si>
  <si>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</si>
  <si>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</si>
  <si>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</si>
  <si>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</si>
  <si>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</si>
  <si>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</si>
  <si>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</si>
  <si>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</si>
  <si>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</si>
  <si>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</si>
  <si>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</si>
  <si>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</si>
  <si>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</si>
  <si>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</si>
  <si>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</si>
  <si>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</si>
  <si>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</si>
  <si>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</si>
  <si>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</si>
  <si>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</si>
  <si>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</si>
  <si>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</si>
  <si>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</si>
  <si>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</si>
  <si>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</si>
  <si>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</si>
  <si>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</si>
  <si>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</si>
  <si>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</si>
  <si>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</si>
  <si>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</si>
  <si>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</si>
  <si>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</si>
  <si>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</si>
  <si>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</si>
  <si>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</si>
  <si>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</si>
  <si>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</si>
  <si>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</si>
  <si>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</si>
  <si>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</si>
  <si>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</si>
  <si>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</si>
  <si>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</si>
  <si>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</si>
  <si>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</si>
  <si>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</si>
  <si>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</si>
  <si>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</si>
  <si>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</si>
  <si>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</si>
  <si>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</si>
  <si>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</si>
  <si>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</si>
  <si>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</si>
  <si>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</si>
  <si>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</si>
  <si>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</si>
  <si>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</si>
  <si>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</si>
  <si>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</si>
  <si>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</si>
  <si>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</si>
  <si>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</si>
  <si>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</si>
  <si>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</si>
  <si>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</si>
  <si>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</si>
  <si>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</si>
  <si>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</si>
  <si>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</si>
  <si>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</si>
  <si>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</si>
  <si>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</si>
  <si>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</si>
  <si>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</si>
  <si>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</si>
  <si>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</si>
  <si>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</si>
  <si>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</si>
  <si>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</si>
  <si>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</si>
  <si>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</si>
  <si>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</si>
  <si>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</si>
  <si>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</si>
  <si>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</si>
  <si>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</si>
  <si>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</si>
  <si>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</si>
  <si>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</si>
  <si>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</si>
  <si>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</si>
  <si>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</si>
  <si>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</si>
  <si>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</si>
  <si>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</si>
  <si>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</si>
  <si>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</si>
  <si>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</si>
  <si>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</si>
  <si>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</si>
  <si>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</si>
  <si>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</si>
  <si>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</si>
  <si>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</si>
  <si>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</si>
  <si>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</si>
  <si>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</si>
  <si>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</si>
  <si>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</si>
  <si>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</si>
  <si>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</si>
  <si>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</si>
  <si>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</si>
  <si>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</si>
  <si>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</si>
  <si>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</si>
  <si>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</si>
  <si>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</si>
  <si>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</si>
  <si>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</si>
  <si>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</si>
  <si>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</si>
  <si>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</si>
  <si>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</si>
  <si>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</si>
  <si>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</si>
  <si>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</si>
  <si>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</si>
  <si>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</si>
  <si>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</si>
  <si>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</si>
  <si>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</si>
  <si>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</si>
  <si>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</si>
  <si>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</si>
  <si>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</si>
  <si>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</si>
  <si>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</si>
  <si>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</si>
  <si>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</si>
  <si>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</si>
  <si>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</si>
  <si>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</si>
  <si>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</si>
  <si>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</si>
  <si>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</si>
  <si>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</si>
  <si>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</si>
  <si>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</si>
  <si>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</si>
  <si>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</si>
  <si>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</si>
  <si>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</si>
  <si>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</si>
  <si>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</si>
  <si>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</si>
  <si>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</si>
  <si>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</si>
  <si>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</si>
  <si>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</si>
  <si>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</si>
  <si>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</si>
  <si>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</si>
  <si>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</si>
  <si>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</si>
  <si>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</si>
  <si>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</si>
  <si>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</si>
  <si>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</si>
  <si>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</si>
  <si>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</si>
  <si>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</si>
  <si>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</si>
  <si>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</si>
  <si>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</si>
  <si>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</si>
  <si>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</si>
  <si>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</si>
  <si>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</si>
  <si>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</si>
  <si>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</si>
  <si>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</si>
  <si>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</si>
  <si>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</si>
  <si>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</si>
  <si>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</si>
  <si>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</si>
  <si>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</si>
  <si>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</si>
  <si>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</si>
  <si>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</si>
  <si>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</si>
  <si>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</si>
  <si>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</si>
  <si>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</si>
  <si>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</si>
  <si>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</si>
  <si>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</si>
  <si>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</si>
  <si>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</si>
  <si>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</si>
  <si>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</si>
  <si>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</si>
  <si>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</si>
  <si>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</si>
  <si>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</si>
  <si>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</si>
  <si>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</si>
  <si>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</si>
  <si>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</si>
  <si>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</si>
  <si>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</si>
  <si>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</si>
  <si>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</si>
  <si>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</si>
  <si>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</si>
  <si>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</si>
  <si>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</si>
  <si>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</si>
  <si>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</si>
  <si>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</si>
  <si>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</si>
  <si>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</si>
  <si>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</si>
  <si>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</si>
  <si>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</si>
  <si>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</si>
  <si>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</si>
  <si>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</si>
  <si>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</si>
  <si>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</si>
  <si>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</si>
  <si>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</si>
  <si>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</si>
  <si>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</si>
  <si>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</si>
  <si>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</si>
  <si>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</si>
  <si>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</si>
  <si>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</si>
  <si>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</si>
  <si>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</si>
  <si>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</si>
  <si>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</si>
  <si>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</si>
  <si>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</si>
  <si>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</si>
  <si>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</si>
  <si>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</si>
  <si>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</si>
  <si>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</si>
  <si>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</si>
  <si>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</si>
  <si>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</si>
  <si>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</si>
  <si>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</si>
  <si>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</si>
  <si>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</si>
  <si>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</si>
  <si>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</si>
  <si>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</si>
  <si>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</si>
  <si>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</si>
  <si>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</si>
  <si>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</si>
  <si>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</si>
  <si>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</si>
  <si>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</si>
  <si>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</si>
  <si>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</si>
  <si>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</si>
  <si>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</si>
  <si>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</si>
  <si>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</si>
  <si>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</si>
  <si>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</si>
  <si>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</si>
  <si>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</si>
  <si>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</si>
  <si>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</si>
  <si>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</si>
  <si>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</si>
  <si>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</si>
  <si>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</si>
  <si>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</si>
  <si>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</si>
  <si>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</si>
  <si>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</si>
  <si>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</si>
  <si>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</si>
  <si>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</si>
  <si>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</si>
  <si>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</si>
  <si>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</si>
  <si>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</si>
  <si>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</si>
  <si>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</si>
  <si>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</si>
  <si>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</si>
  <si>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</si>
  <si>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</si>
  <si>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</si>
  <si>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</si>
  <si>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</si>
  <si>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</si>
  <si>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</si>
  <si>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</si>
  <si>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</si>
  <si>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</si>
  <si>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</si>
  <si>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</si>
  <si>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</si>
  <si>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</si>
  <si>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</si>
  <si>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</si>
  <si>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</si>
  <si>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</si>
  <si>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</si>
  <si>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</si>
  <si>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</si>
  <si>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</si>
  <si>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</si>
  <si>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</si>
  <si>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</si>
  <si>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</si>
  <si>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</si>
  <si>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</si>
  <si>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</si>
  <si>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</si>
  <si>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</si>
  <si>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</si>
  <si>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</si>
  <si>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</si>
  <si>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</si>
  <si>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</si>
  <si>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</si>
  <si>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</si>
  <si>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</si>
  <si>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</si>
  <si>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</si>
  <si>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</si>
  <si>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</si>
  <si>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</si>
  <si>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</si>
  <si>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</si>
  <si>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</si>
  <si>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</si>
  <si>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</si>
  <si>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</si>
  <si>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</si>
  <si>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</si>
  <si>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</si>
  <si>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</si>
  <si>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</si>
  <si>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</si>
  <si>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</si>
  <si>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</si>
  <si>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</si>
  <si>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</si>
  <si>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</si>
  <si>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</si>
  <si>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</si>
  <si>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</si>
  <si>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</si>
  <si>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</si>
  <si>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</si>
  <si>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</si>
  <si>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</si>
  <si>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</si>
  <si>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</si>
  <si>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</si>
  <si>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</si>
  <si>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</si>
  <si>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</si>
  <si>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</si>
  <si>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</si>
  <si>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</si>
  <si>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</si>
  <si>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</si>
  <si>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</si>
  <si>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</si>
  <si>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</si>
  <si>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</si>
  <si>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</si>
  <si>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</si>
  <si>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</si>
  <si>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</si>
  <si>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</si>
  <si>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</si>
  <si>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</si>
  <si>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</si>
  <si>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</si>
  <si>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</si>
  <si>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</si>
  <si>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</si>
  <si>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</si>
  <si>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</si>
  <si>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</si>
  <si>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</si>
  <si>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</si>
  <si>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</si>
  <si>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</si>
  <si>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</si>
  <si>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</si>
  <si>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</si>
  <si>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</si>
  <si>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</si>
  <si>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</si>
  <si>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</si>
  <si>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</si>
  <si>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</si>
  <si>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</si>
  <si>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</si>
  <si>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</si>
  <si>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</si>
  <si>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</si>
  <si>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</si>
  <si>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</si>
  <si>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</si>
  <si>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</si>
  <si>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</si>
  <si>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</si>
  <si>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</si>
  <si>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</si>
  <si>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</si>
  <si>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</si>
  <si>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</si>
  <si>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</si>
  <si>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</si>
  <si>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</si>
  <si>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</si>
  <si>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</si>
  <si>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</si>
  <si>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</si>
  <si>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</si>
  <si>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</si>
  <si>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</si>
  <si>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</si>
  <si>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</si>
  <si>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</si>
  <si>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</si>
  <si>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</si>
  <si>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</si>
  <si>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</si>
  <si>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</si>
  <si>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</si>
  <si>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</si>
  <si>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</si>
  <si>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</si>
  <si>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</si>
  <si>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</si>
  <si>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</si>
  <si>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</si>
  <si>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</si>
  <si>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</si>
  <si>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</si>
  <si>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</si>
  <si>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</si>
  <si>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</si>
  <si>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</si>
  <si>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</si>
  <si>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</si>
  <si>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</si>
  <si>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</si>
  <si>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</si>
  <si>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</si>
  <si>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</si>
  <si>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</si>
  <si>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</si>
  <si>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</si>
  <si>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</si>
  <si>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</si>
  <si>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</si>
  <si>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</si>
  <si>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</si>
  <si>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</si>
  <si>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</si>
  <si>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</si>
  <si>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</si>
  <si>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</si>
  <si>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</si>
  <si>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</si>
  <si>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</si>
  <si>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</si>
  <si>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</si>
  <si>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</si>
  <si>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</si>
  <si>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</si>
  <si>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</si>
  <si>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</si>
  <si>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</si>
  <si>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</si>
  <si>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</si>
  <si>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</si>
  <si>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</si>
  <si>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</si>
  <si>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</si>
  <si>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</si>
  <si>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</si>
  <si>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</si>
  <si>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</si>
  <si>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</si>
  <si>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</si>
  <si>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</si>
  <si>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</si>
  <si>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</si>
  <si>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</si>
  <si>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</si>
  <si>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</si>
  <si>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</si>
  <si>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</si>
  <si>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</si>
  <si>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</si>
  <si>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</si>
  <si>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</si>
  <si>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</si>
  <si>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</si>
  <si>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</si>
  <si>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</si>
  <si>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</si>
  <si>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</si>
  <si>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</si>
  <si>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</si>
  <si>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</si>
  <si>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</si>
  <si>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</si>
  <si>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</si>
  <si>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</si>
  <si>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</si>
  <si>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</si>
  <si>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</si>
  <si>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</si>
  <si>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</si>
  <si>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</si>
  <si>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</si>
  <si>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</si>
  <si>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</si>
  <si>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</si>
  <si>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</si>
  <si>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</si>
  <si>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</si>
  <si>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</si>
  <si>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</si>
  <si>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</si>
  <si>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</si>
  <si>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</si>
  <si>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</si>
  <si>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</si>
  <si>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</si>
  <si>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</si>
  <si>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</si>
  <si>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</si>
  <si>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</si>
  <si>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</si>
  <si>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</si>
  <si>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</si>
  <si>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</si>
  <si>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</si>
  <si>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</si>
  <si>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</si>
  <si>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</si>
  <si>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</si>
  <si>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</si>
  <si>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</si>
  <si>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</si>
  <si>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</si>
  <si>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</si>
  <si>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</si>
  <si>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</si>
  <si>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</si>
  <si>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</si>
  <si>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</si>
  <si>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</si>
  <si>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</si>
  <si>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</si>
  <si>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</si>
  <si>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</si>
  <si>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</si>
  <si>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</si>
  <si>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</si>
  <si>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</si>
  <si>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</si>
  <si>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</si>
  <si>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</si>
  <si>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</si>
  <si>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</si>
  <si>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</si>
  <si>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</si>
  <si>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</si>
  <si>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</si>
  <si>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</si>
  <si>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</si>
  <si>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</si>
  <si>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</si>
  <si>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</si>
  <si>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</si>
  <si>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</si>
  <si>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</si>
  <si>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</si>
  <si>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</si>
  <si>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</si>
  <si>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</si>
  <si>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</si>
  <si>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</si>
  <si>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</si>
  <si>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</si>
  <si>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</si>
  <si>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</si>
  <si>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</si>
  <si>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</si>
  <si>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</si>
  <si>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</si>
  <si>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</si>
  <si>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</si>
  <si>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</si>
  <si>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</si>
  <si>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</si>
  <si>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</si>
  <si>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</si>
  <si>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</si>
  <si>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</si>
  <si>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</si>
  <si>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</si>
  <si>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</si>
  <si>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</si>
  <si>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</si>
  <si>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</si>
  <si>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</si>
  <si>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</si>
  <si>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</si>
  <si>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</si>
  <si>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</si>
  <si>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</si>
  <si>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</si>
  <si>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</si>
  <si>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</si>
  <si>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</si>
  <si>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</si>
  <si>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</si>
  <si>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</si>
  <si>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</si>
  <si>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</si>
  <si>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</si>
  <si>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</si>
  <si>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</si>
  <si>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</si>
  <si>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</si>
  <si>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</si>
  <si>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</si>
  <si>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</si>
  <si>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</si>
  <si>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</si>
  <si>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</si>
  <si>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</si>
  <si>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</si>
  <si>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</si>
  <si>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</si>
  <si>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</si>
  <si>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</si>
  <si>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</si>
  <si>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</si>
  <si>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</si>
  <si>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</si>
  <si>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</si>
  <si>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</si>
  <si>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</si>
  <si>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</si>
  <si>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</si>
  <si>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</si>
  <si>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</si>
  <si>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</si>
  <si>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</si>
  <si>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</si>
  <si>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</si>
  <si>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</si>
  <si>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</si>
  <si>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</si>
  <si>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</si>
  <si>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</si>
  <si>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</si>
  <si>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</si>
  <si>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</si>
  <si>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</si>
  <si>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</si>
  <si>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</si>
  <si>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</si>
  <si>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</si>
  <si>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</si>
  <si>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</si>
  <si>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</si>
  <si>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</si>
  <si>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</si>
  <si>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</si>
  <si>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</si>
  <si>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</si>
  <si>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</si>
  <si>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</si>
  <si>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</si>
  <si>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</si>
  <si>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</si>
  <si>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</si>
  <si>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</si>
  <si>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</si>
  <si>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</si>
  <si>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</si>
  <si>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</si>
  <si>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</si>
  <si>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</si>
  <si>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</si>
  <si>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</si>
  <si>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</si>
  <si>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</si>
  <si>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</si>
  <si>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</si>
  <si>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</si>
  <si>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</si>
  <si>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</si>
  <si>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</si>
  <si>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</si>
  <si>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</si>
  <si>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</si>
  <si>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</si>
  <si>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</si>
  <si>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</si>
  <si>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</si>
  <si>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</si>
  <si>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</si>
  <si>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</si>
  <si>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</si>
  <si>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</si>
  <si>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</si>
  <si>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</si>
  <si>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</si>
  <si>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</si>
  <si>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</si>
  <si>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</si>
  <si>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</si>
  <si>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</si>
  <si>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</si>
  <si>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</si>
  <si>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</si>
  <si>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</si>
  <si>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</si>
  <si>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</si>
  <si>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</si>
  <si>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</si>
  <si>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</si>
  <si>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</si>
  <si>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</si>
  <si>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</si>
  <si>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</si>
  <si>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</si>
  <si>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</si>
  <si>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</si>
  <si>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</si>
  <si>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</si>
  <si>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</si>
  <si>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</si>
  <si>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</si>
  <si>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</si>
  <si>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</si>
  <si>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</si>
  <si>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</si>
  <si>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</si>
  <si>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</si>
  <si>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</si>
  <si>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</si>
  <si>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</si>
  <si>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</si>
  <si>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</si>
  <si>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</si>
  <si>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</si>
  <si>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</si>
  <si>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</si>
  <si>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</si>
  <si>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</si>
  <si>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</si>
  <si>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</si>
  <si>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</si>
  <si>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</si>
  <si>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</si>
  <si>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</si>
  <si>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</si>
  <si>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</si>
  <si>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</si>
  <si>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</si>
  <si>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</si>
  <si>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</si>
  <si>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</si>
  <si>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</si>
  <si>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</si>
  <si>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</si>
  <si>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</si>
  <si>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</si>
  <si>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</si>
  <si>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</si>
  <si>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</si>
  <si>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</si>
  <si>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</si>
  <si>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</si>
  <si>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</si>
  <si>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</si>
  <si>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</si>
  <si>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</si>
  <si>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</si>
  <si>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</si>
  <si>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</si>
  <si>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</si>
  <si>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</si>
  <si>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</si>
  <si>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</si>
  <si>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</si>
  <si>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</si>
  <si>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</si>
  <si>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</si>
  <si>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</si>
  <si>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</si>
  <si>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</si>
  <si>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</si>
  <si>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</si>
  <si>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</si>
  <si>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</si>
  <si>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</si>
  <si>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</si>
  <si>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</si>
  <si>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</si>
  <si>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</si>
  <si>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</si>
  <si>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</si>
  <si>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</si>
  <si>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</si>
  <si>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</si>
  <si>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</si>
  <si>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</si>
  <si>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</si>
  <si>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</si>
  <si>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</si>
  <si>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</si>
  <si>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</si>
  <si>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</si>
  <si>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</si>
  <si>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</si>
  <si>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</si>
  <si>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</si>
  <si>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</si>
  <si>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</si>
  <si>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</si>
  <si>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</si>
  <si>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</si>
  <si>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</si>
  <si>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</si>
  <si>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</si>
  <si>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</si>
  <si>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</si>
  <si>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</si>
  <si>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</si>
  <si>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</si>
  <si>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</si>
  <si>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</si>
  <si>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</si>
  <si>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</si>
  <si>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</si>
  <si>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</si>
  <si>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</si>
  <si>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</si>
  <si>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</si>
  <si>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</si>
  <si>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</si>
  <si>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</si>
  <si>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</si>
  <si>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</si>
  <si>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</si>
  <si>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</si>
  <si>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</si>
  <si>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</si>
  <si>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</si>
  <si>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</si>
  <si>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</si>
  <si>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</si>
  <si>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</si>
  <si>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</si>
  <si>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</si>
  <si>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</si>
  <si>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</si>
  <si>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</si>
  <si>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</si>
  <si>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</si>
  <si>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</si>
  <si>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</si>
  <si>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</si>
  <si>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</si>
  <si>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</si>
  <si>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</si>
  <si>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</si>
  <si>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</si>
  <si>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</si>
  <si>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</si>
  <si>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</si>
  <si>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</si>
  <si>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</si>
  <si>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</si>
  <si>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</si>
  <si>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</si>
  <si>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</si>
  <si>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</si>
  <si>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</si>
  <si>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</si>
  <si>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</si>
  <si>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</si>
  <si>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</si>
  <si>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</si>
  <si>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</si>
  <si>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</si>
  <si>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</si>
  <si>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</si>
  <si>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</si>
  <si>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</si>
  <si>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</si>
  <si>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</si>
  <si>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</si>
  <si>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</si>
  <si>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</si>
  <si>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</si>
  <si>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</si>
  <si>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</si>
  <si>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</si>
  <si>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</si>
  <si>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</si>
  <si>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</si>
  <si>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</si>
  <si>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</si>
  <si>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</si>
  <si>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</si>
  <si>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</si>
  <si>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</si>
  <si>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</si>
  <si>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</si>
  <si>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</si>
  <si>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</si>
  <si>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</si>
  <si>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</si>
  <si>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</si>
  <si>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</si>
  <si>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</si>
  <si>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</si>
  <si>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</si>
  <si>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</si>
  <si>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</si>
  <si>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</si>
  <si>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</si>
  <si>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</si>
  <si>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</si>
  <si>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</si>
  <si>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</si>
  <si>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</si>
  <si>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</si>
  <si>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</si>
  <si>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</si>
  <si>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</si>
  <si>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</si>
  <si>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</si>
  <si>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</si>
  <si>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</si>
  <si>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</si>
  <si>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</si>
  <si>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</si>
  <si>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</si>
  <si>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</si>
  <si>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</si>
  <si>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</si>
  <si>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</si>
  <si>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</si>
  <si>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</si>
  <si>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</si>
  <si>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</si>
  <si>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</si>
  <si>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</si>
  <si>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</si>
  <si>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</si>
  <si>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</si>
  <si>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</si>
  <si>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</si>
  <si>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</si>
  <si>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</si>
  <si>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</si>
  <si>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</si>
  <si>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</si>
  <si>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</si>
  <si>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</si>
  <si>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</si>
  <si>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</si>
  <si>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</si>
  <si>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</si>
  <si>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</si>
  <si>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</si>
  <si>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</si>
  <si>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</si>
  <si>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</si>
  <si>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</si>
  <si>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</si>
  <si>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</si>
  <si>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</si>
  <si>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</si>
  <si>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</si>
  <si>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</si>
  <si>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</si>
  <si>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</si>
  <si>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</si>
  <si>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</si>
  <si>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</si>
  <si>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</si>
  <si>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</si>
  <si>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</si>
  <si>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</si>
  <si>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</si>
  <si>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</si>
  <si>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</si>
  <si>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</si>
  <si>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</si>
  <si>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</si>
  <si>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</si>
  <si>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</si>
  <si>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</si>
  <si>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</si>
  <si>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</si>
  <si>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</si>
  <si>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</si>
  <si>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</si>
  <si>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</si>
  <si>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</si>
  <si>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</si>
  <si>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</si>
  <si>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</si>
  <si>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</si>
  <si>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</si>
  <si>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</si>
  <si>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</si>
  <si>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</si>
  <si>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</si>
  <si>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</si>
  <si>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</si>
  <si>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</si>
  <si>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</si>
  <si>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</si>
  <si>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</si>
  <si>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</si>
  <si>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</si>
  <si>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</si>
  <si>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</si>
  <si>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</si>
  <si>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</si>
  <si>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</si>
  <si>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</si>
  <si>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</si>
  <si>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</si>
  <si>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</si>
  <si>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</si>
  <si>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</si>
  <si>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</si>
  <si>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</si>
  <si>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</si>
  <si>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</si>
  <si>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</si>
  <si>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</si>
  <si>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</si>
  <si>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</si>
  <si>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</si>
  <si>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</si>
  <si>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</si>
  <si>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inicial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</si>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</sst>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2.897872106485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2.897872685186" createdVersion="8" refreshedVersion="8" minRefreshableVersion="3" recordCount="11807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753"/>
    </cacheField>
    <cacheField name="Date" numFmtId="16">
      <sharedItems containsSemiMixedTypes="0" containsNonDate="0" containsDate="1" containsString="0" minDate="2022-03-16T00:00:00" maxDate="2023-07-06T00:00:00" count="405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5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4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2.897882175923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07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2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1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40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2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4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6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0" firstHeaderRow="1" firstDataRow="1" firstDataCol="1" rowPageCount="3" colPageCount="1"/>
  <pivotFields count="19">
    <pivotField showAll="0"/>
    <pivotField axis="axisRow" showAll="0">
      <items count="406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5">
    <i>
      <x v="400"/>
    </i>
    <i>
      <x v="401"/>
    </i>
    <i>
      <x v="402"/>
    </i>
    <i>
      <x v="403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5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4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x="4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5">
        <item m="1" x="296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8"/>
        <item x="2"/>
        <item x="253"/>
        <item x="56"/>
        <item m="1" x="300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7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1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0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5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4"/>
        <item m="1" x="291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2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4"/>
        <item x="179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3"/>
        <item x="159"/>
        <item x="227"/>
        <item x="100"/>
        <item x="111"/>
        <item x="205"/>
        <item x="273"/>
        <item m="1" x="288"/>
        <item x="29"/>
        <item x="20"/>
        <item x="255"/>
        <item x="53"/>
        <item x="19"/>
        <item x="220"/>
        <item x="85"/>
        <item x="114"/>
        <item x="33"/>
        <item m="1" x="292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3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7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45"/>
        <item m="1" x="2446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8"/>
      <x v="969"/>
    </i>
    <i>
      <x v="40"/>
      <x v="312"/>
    </i>
    <i>
      <x v="120"/>
      <x v="2041"/>
    </i>
    <i>
      <x v="142"/>
      <x v="2445"/>
    </i>
    <i>
      <x v="143"/>
      <x v="421"/>
    </i>
    <i>
      <x v="145"/>
      <x v="2444"/>
    </i>
    <i>
      <x v="167"/>
      <x v="969"/>
    </i>
    <i>
      <x v="192"/>
      <x v="1801"/>
    </i>
    <i>
      <x v="226"/>
      <x v="321"/>
    </i>
    <i r="1">
      <x v="323"/>
    </i>
    <i r="1">
      <x v="353"/>
    </i>
    <i>
      <x v="234"/>
      <x v="2446"/>
    </i>
    <i>
      <x v="239"/>
      <x v="287"/>
    </i>
    <i>
      <x v="295"/>
      <x v="199"/>
    </i>
    <i r="1">
      <x v="55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7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2" firstHeaderRow="0" firstDataRow="1" firstDataCol="1" rowPageCount="4" colPageCount="1"/>
  <pivotFields count="19">
    <pivotField showAll="0"/>
    <pivotField axis="axisRow" multipleItemSelectionAllowed="1" showAll="0" sortType="ascending">
      <items count="406">
        <item m="1" x="40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6">
        <item x="13"/>
        <item x="16"/>
        <item x="21"/>
        <item x="8"/>
        <item x="3"/>
        <item x="25"/>
        <item x="0"/>
        <item m="1" x="298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9"/>
        <item x="47"/>
        <item x="48"/>
        <item x="49"/>
        <item x="50"/>
        <item x="51"/>
        <item x="52"/>
        <item x="53"/>
        <item x="4"/>
        <item m="1" x="296"/>
        <item x="54"/>
        <item x="55"/>
        <item x="56"/>
        <item x="57"/>
        <item m="1" x="303"/>
        <item x="58"/>
        <item x="59"/>
        <item x="60"/>
        <item m="1" x="302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3"/>
        <item x="78"/>
        <item x="79"/>
        <item x="80"/>
        <item m="1" x="290"/>
        <item x="81"/>
        <item x="82"/>
        <item x="83"/>
        <item x="76"/>
        <item x="85"/>
        <item x="86"/>
        <item m="1" x="299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2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1"/>
        <item x="128"/>
        <item x="129"/>
        <item x="130"/>
        <item x="131"/>
        <item x="132"/>
        <item x="133"/>
        <item m="1" x="304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1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0"/>
        <item x="272"/>
        <item x="273"/>
        <item x="274"/>
        <item x="275"/>
        <item x="276"/>
        <item x="277"/>
        <item m="1" x="294"/>
        <item x="278"/>
        <item x="279"/>
        <item x="281"/>
        <item x="282"/>
        <item m="1" x="295"/>
        <item x="284"/>
        <item x="286"/>
        <item x="287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6">
    <i>
      <x v="400"/>
    </i>
    <i>
      <x v="401"/>
    </i>
    <i>
      <x v="402"/>
    </i>
    <i>
      <x v="403"/>
    </i>
    <i>
      <x v="40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5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5">
        <item m="1" x="296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8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0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4"/>
        <item m="1" x="291"/>
        <item x="1"/>
        <item x="116"/>
        <item x="35"/>
        <item x="61"/>
        <item m="1" x="302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3"/>
        <item x="100"/>
        <item x="111"/>
        <item x="29"/>
        <item x="20"/>
        <item x="53"/>
        <item x="19"/>
        <item x="85"/>
        <item x="114"/>
        <item x="33"/>
        <item m="1" x="292"/>
        <item x="66"/>
        <item x="26"/>
        <item x="37"/>
        <item x="137"/>
        <item x="73"/>
        <item x="59"/>
        <item x="60"/>
        <item x="34"/>
        <item x="45"/>
        <item x="62"/>
        <item m="1" x="293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9"/>
        <item x="148"/>
        <item x="149"/>
        <item x="150"/>
        <item x="151"/>
        <item m="1" x="301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0"/>
        <item x="272"/>
        <item x="273"/>
        <item x="274"/>
        <item x="275"/>
        <item x="276"/>
        <item x="277"/>
        <item m="1" x="294"/>
        <item x="278"/>
        <item x="279"/>
        <item x="281"/>
        <item x="282"/>
        <item m="1" x="295"/>
        <item x="284"/>
        <item x="286"/>
        <item x="287"/>
        <item x="285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8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5">
        <item m="1" x="40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5">
        <item m="1" x="296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8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1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0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4"/>
        <item m="1" x="291"/>
        <item x="155"/>
        <item x="148"/>
        <item x="167"/>
        <item x="188"/>
        <item x="177"/>
        <item x="1"/>
        <item x="116"/>
        <item x="35"/>
        <item x="61"/>
        <item m="1" x="302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3"/>
        <item x="159"/>
        <item x="227"/>
        <item x="100"/>
        <item x="111"/>
        <item x="205"/>
        <item m="1" x="288"/>
        <item x="29"/>
        <item x="20"/>
        <item x="53"/>
        <item x="19"/>
        <item x="220"/>
        <item x="85"/>
        <item x="114"/>
        <item x="33"/>
        <item m="1" x="292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3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9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0"/>
        <item x="272"/>
        <item x="273"/>
        <item x="274"/>
        <item x="275"/>
        <item x="276"/>
        <item x="277"/>
        <item m="1" x="294"/>
        <item x="278"/>
        <item x="279"/>
        <item x="281"/>
        <item x="282"/>
        <item m="1" x="295"/>
        <item x="284"/>
        <item x="286"/>
        <item x="287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47">
        <item h="1" m="1" x="2446"/>
        <item h="1" m="1" x="2445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2441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2443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2442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5"/>
        <item h="1" x="1833"/>
        <item h="1" x="1452"/>
        <item h="1" x="2364"/>
        <item h="1" x="236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439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2440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4">
    <i>
      <x v="117"/>
      <x v="1"/>
      <x v="1845"/>
    </i>
    <i r="1">
      <x v="3"/>
      <x v="1845"/>
    </i>
    <i>
      <x v="384"/>
      <x v="3"/>
      <x v="18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5">
        <item m="1" x="40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5">
        <item m="1" x="296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8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1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0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4"/>
        <item m="1" x="291"/>
        <item x="155"/>
        <item x="148"/>
        <item x="167"/>
        <item x="188"/>
        <item x="177"/>
        <item x="1"/>
        <item x="116"/>
        <item x="35"/>
        <item x="61"/>
        <item m="1" x="302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9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3"/>
        <item x="159"/>
        <item x="227"/>
        <item x="100"/>
        <item x="111"/>
        <item x="205"/>
        <item m="1" x="288"/>
        <item x="29"/>
        <item x="20"/>
        <item x="53"/>
        <item x="19"/>
        <item x="220"/>
        <item x="85"/>
        <item x="114"/>
        <item x="33"/>
        <item m="1" x="292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3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9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0"/>
        <item x="272"/>
        <item x="273"/>
        <item x="274"/>
        <item x="275"/>
        <item x="276"/>
        <item x="277"/>
        <item m="1" x="294"/>
        <item x="278"/>
        <item x="279"/>
        <item x="281"/>
        <item x="282"/>
        <item m="1" x="295"/>
        <item x="284"/>
        <item x="286"/>
        <item x="287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7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45"/>
        <item h="1" m="1" x="2446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5">
        <item m="1" x="40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5">
        <item h="1" m="1" x="296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8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1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0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4"/>
        <item h="1" m="1" x="291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2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9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3"/>
        <item h="1" x="159"/>
        <item h="1" x="227"/>
        <item h="1" x="100"/>
        <item h="1" x="111"/>
        <item h="1" x="205"/>
        <item h="1" m="1" x="288"/>
        <item h="1" x="29"/>
        <item h="1" x="20"/>
        <item h="1" x="53"/>
        <item h="1" x="19"/>
        <item h="1" x="220"/>
        <item h="1" x="85"/>
        <item h="1" x="114"/>
        <item h="1" x="33"/>
        <item h="1" m="1" x="292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3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9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0"/>
        <item h="1" x="272"/>
        <item h="1" x="273"/>
        <item h="1" x="274"/>
        <item h="1" x="275"/>
        <item h="1" x="276"/>
        <item h="1" x="277"/>
        <item h="1" m="1" x="294"/>
        <item h="1" x="278"/>
        <item h="1" x="279"/>
        <item h="1" x="281"/>
        <item h="1" x="282"/>
        <item h="1" m="1" x="295"/>
        <item h="1" x="284"/>
        <item h="1" x="286"/>
        <item h="1" x="287"/>
        <item h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7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45"/>
        <item h="1" m="1" x="2446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5">
        <i x="296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8"/>
        <i x="2"/>
        <i x="253"/>
        <i x="56"/>
        <i x="300"/>
        <i x="192"/>
        <i x="180"/>
        <i x="115"/>
        <i x="51"/>
        <i x="254"/>
        <i x="36"/>
        <i x="145"/>
        <i x="184"/>
        <i x="91"/>
        <i x="196"/>
        <i x="258"/>
        <i x="287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7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1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0"/>
        <i x="54"/>
        <i x="23"/>
        <i x="150"/>
        <i x="213"/>
        <i x="243"/>
        <i x="63"/>
        <i x="10"/>
        <i x="146"/>
        <i x="171"/>
        <i x="247"/>
        <i x="285"/>
        <i x="295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4"/>
        <i x="291"/>
        <i x="155"/>
        <i x="148"/>
        <i x="167"/>
        <i x="188"/>
        <i x="277"/>
        <i x="177"/>
        <i x="1"/>
        <i x="116"/>
        <i x="248"/>
        <i x="35"/>
        <i x="61"/>
        <i x="302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4"/>
        <i x="179"/>
        <i x="141"/>
        <i x="97"/>
        <i x="88"/>
        <i x="70"/>
        <i x="69"/>
        <i x="299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3"/>
        <i x="159"/>
        <i x="227"/>
        <i x="100"/>
        <i x="111"/>
        <i x="205"/>
        <i x="273"/>
        <i x="288"/>
        <i x="29"/>
        <i x="20"/>
        <i x="255"/>
        <i x="53"/>
        <i x="19"/>
        <i x="220"/>
        <i x="85"/>
        <i x="114"/>
        <i x="33"/>
        <i x="292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3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9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5">
        <i x="81"/>
        <i x="247"/>
        <i x="95"/>
        <i x="84" s="1"/>
        <i x="26"/>
        <i x="30"/>
        <i x="27"/>
        <i x="104"/>
        <i x="296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8" nd="1"/>
        <i x="2" nd="1"/>
        <i x="253" nd="1"/>
        <i x="56" nd="1"/>
        <i x="300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7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1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0" nd="1"/>
        <i x="54" nd="1"/>
        <i x="23" nd="1"/>
        <i x="150" nd="1"/>
        <i x="213" nd="1"/>
        <i x="243" nd="1"/>
        <i x="63" nd="1"/>
        <i x="10" nd="1"/>
        <i x="146" nd="1"/>
        <i x="171" nd="1"/>
        <i x="285" nd="1"/>
        <i x="295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4" nd="1"/>
        <i x="291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4" nd="1"/>
        <i x="179" nd="1"/>
        <i x="141" nd="1"/>
        <i x="97" nd="1"/>
        <i x="88" nd="1"/>
        <i x="70" nd="1"/>
        <i x="69" nd="1"/>
        <i x="299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3" nd="1"/>
        <i x="159" nd="1"/>
        <i x="227" nd="1"/>
        <i x="100" nd="1"/>
        <i x="111" nd="1"/>
        <i x="205" nd="1"/>
        <i x="273" nd="1"/>
        <i x="288" nd="1"/>
        <i x="29" nd="1"/>
        <i x="20" nd="1"/>
        <i x="255" nd="1"/>
        <i x="53" nd="1"/>
        <i x="19" nd="1"/>
        <i x="220" nd="1"/>
        <i x="85" nd="1"/>
        <i x="114" nd="1"/>
        <i x="33" nd="1"/>
        <i x="292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3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9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47">
        <i x="149"/>
        <i x="644"/>
        <i x="430"/>
        <i x="1310"/>
        <i x="1949"/>
        <i x="2435"/>
        <i x="1806"/>
        <i x="1964"/>
        <i x="150"/>
        <i x="589"/>
        <i x="218"/>
        <i x="1337"/>
        <i x="420"/>
        <i x="316" s="1"/>
        <i x="1134"/>
        <i x="1340"/>
        <i x="1908"/>
        <i x="521"/>
        <i x="133"/>
        <i x="297"/>
        <i x="2446" nd="1"/>
        <i x="2445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47">
        <i x="298"/>
        <i x="1851" s="1"/>
        <i x="237"/>
        <i x="521"/>
        <i x="2446" nd="1"/>
        <i x="2445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319" nd="1"/>
        <i x="1949" nd="1"/>
        <i x="299" nd="1"/>
        <i x="1429" nd="1"/>
        <i x="2435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5">
        <i x="105" s="1"/>
        <i x="296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8" nd="1"/>
        <i x="2" nd="1"/>
        <i x="253" nd="1"/>
        <i x="56" nd="1"/>
        <i x="300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7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1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0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5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4" nd="1"/>
        <i x="291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4" nd="1"/>
        <i x="179" nd="1"/>
        <i x="141" nd="1"/>
        <i x="97" nd="1"/>
        <i x="88" nd="1"/>
        <i x="70" nd="1"/>
        <i x="69" nd="1"/>
        <i x="299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3" nd="1"/>
        <i x="159" nd="1"/>
        <i x="227" nd="1"/>
        <i x="100" nd="1"/>
        <i x="111" nd="1"/>
        <i x="205" nd="1"/>
        <i x="273" nd="1"/>
        <i x="288" nd="1"/>
        <i x="29" nd="1"/>
        <i x="20" nd="1"/>
        <i x="255" nd="1"/>
        <i x="53" nd="1"/>
        <i x="19" nd="1"/>
        <i x="220" nd="1"/>
        <i x="85" nd="1"/>
        <i x="114" nd="1"/>
        <i x="33" nd="1"/>
        <i x="292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3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9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47">
        <i x="644"/>
        <i x="364"/>
        <i x="317"/>
        <i x="150" s="1"/>
        <i x="316"/>
        <i x="237"/>
        <i x="315"/>
        <i x="1340"/>
        <i x="133"/>
        <i x="297"/>
        <i x="2446" nd="1"/>
        <i x="2445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5">
        <i x="36"/>
        <i x="81"/>
        <i x="55"/>
        <i x="95" s="1"/>
        <i x="84"/>
        <i x="26"/>
        <i x="40"/>
        <i x="30"/>
        <i x="27"/>
        <i x="104"/>
        <i x="296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8" nd="1"/>
        <i x="2" nd="1"/>
        <i x="253" nd="1"/>
        <i x="56" nd="1"/>
        <i x="300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7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1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0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5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4" nd="1"/>
        <i x="291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2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4" nd="1"/>
        <i x="179" nd="1"/>
        <i x="141" nd="1"/>
        <i x="97" nd="1"/>
        <i x="88" nd="1"/>
        <i x="70" nd="1"/>
        <i x="69" nd="1"/>
        <i x="299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3" nd="1"/>
        <i x="159" nd="1"/>
        <i x="227" nd="1"/>
        <i x="100" nd="1"/>
        <i x="111" nd="1"/>
        <i x="205" nd="1"/>
        <i x="273" nd="1"/>
        <i x="288" nd="1"/>
        <i x="29" nd="1"/>
        <i x="20" nd="1"/>
        <i x="255" nd="1"/>
        <i x="53" nd="1"/>
        <i x="19" nd="1"/>
        <i x="220" nd="1"/>
        <i x="85" nd="1"/>
        <i x="114" nd="1"/>
        <i x="33" nd="1"/>
        <i x="292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3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9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808" totalsRowShown="0">
  <autoFilter ref="A1:S11808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808"/>
  <sheetViews>
    <sheetView topLeftCell="A11766" zoomScale="80" zoomScaleNormal="80" workbookViewId="0">
      <selection activeCell="G11799" sqref="G11799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3369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3280</v>
      </c>
      <c r="I10304" s="58"/>
      <c r="J10304" s="58"/>
      <c r="K10304" s="58"/>
      <c r="L10304" s="58" t="s">
        <v>3369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3636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3670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3362</v>
      </c>
      <c r="H11713" t="s">
        <v>3363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3671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3620</v>
      </c>
      <c r="G11719" t="s">
        <v>266</v>
      </c>
      <c r="H11719" t="s">
        <v>3620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3672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3280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3620</v>
      </c>
      <c r="G11747" t="s">
        <v>266</v>
      </c>
      <c r="H11747" t="s">
        <v>3620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3033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3676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3459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3123</v>
      </c>
      <c r="G11758" t="s">
        <v>721</v>
      </c>
      <c r="H11758" t="s">
        <v>3677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3678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3588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3069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3436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3607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3029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3221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3510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3679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3518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3518</v>
      </c>
      <c r="E11778">
        <v>1</v>
      </c>
      <c r="F11778" t="s">
        <v>198</v>
      </c>
      <c r="G11778" t="s">
        <v>266</v>
      </c>
      <c r="H11778" t="s">
        <v>3680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3518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3543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3681</v>
      </c>
      <c r="G11781" t="s">
        <v>266</v>
      </c>
      <c r="H11781" t="s">
        <v>3682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3568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3659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3299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3636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3620</v>
      </c>
      <c r="G11794" t="s">
        <v>263</v>
      </c>
      <c r="H11794" t="s">
        <v>3684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3683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3685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2745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3091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3130</v>
      </c>
      <c r="B62" s="56" t="s">
        <v>3131</v>
      </c>
      <c r="C62" s="56" t="s">
        <v>3132</v>
      </c>
      <c r="D62" s="56" t="s">
        <v>1845</v>
      </c>
      <c r="E62" s="56" t="s">
        <v>3133</v>
      </c>
      <c r="F62" s="56" t="s">
        <v>3134</v>
      </c>
      <c r="G62" s="56" t="s">
        <v>3135</v>
      </c>
      <c r="H62" s="56" t="s">
        <v>1844</v>
      </c>
      <c r="I62" s="56" t="s">
        <v>3136</v>
      </c>
      <c r="J62" s="56" t="s">
        <v>3137</v>
      </c>
      <c r="K62" s="45"/>
      <c r="L62" s="45"/>
      <c r="M62" s="45"/>
    </row>
    <row r="63" spans="1:13" ht="16" x14ac:dyDescent="0.2">
      <c r="A63" s="46">
        <v>2018</v>
      </c>
      <c r="B63" s="46" t="s">
        <v>3138</v>
      </c>
      <c r="C63" s="46">
        <v>2011</v>
      </c>
      <c r="D63" s="46" t="s">
        <v>3139</v>
      </c>
      <c r="E63" s="46" t="s">
        <v>3140</v>
      </c>
      <c r="F63" s="50" t="s">
        <v>3141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3138</v>
      </c>
      <c r="C64" s="51">
        <v>2011</v>
      </c>
      <c r="D64" s="51" t="s">
        <v>3139</v>
      </c>
      <c r="E64" s="46" t="s">
        <v>3140</v>
      </c>
      <c r="F64" s="50" t="s">
        <v>3141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3142</v>
      </c>
      <c r="C65" s="53">
        <v>2008</v>
      </c>
      <c r="D65" s="54" t="s">
        <v>3143</v>
      </c>
      <c r="E65" s="46" t="s">
        <v>3144</v>
      </c>
      <c r="F65" s="50" t="s">
        <v>3141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3138</v>
      </c>
      <c r="C66" s="46">
        <v>2011</v>
      </c>
      <c r="D66" s="46" t="s">
        <v>3139</v>
      </c>
      <c r="E66" s="46" t="s">
        <v>3140</v>
      </c>
      <c r="F66" s="50" t="s">
        <v>3141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3138</v>
      </c>
      <c r="C67" s="51">
        <v>2011</v>
      </c>
      <c r="D67" s="46" t="s">
        <v>3139</v>
      </c>
      <c r="E67" s="46" t="s">
        <v>3140</v>
      </c>
      <c r="F67" s="50" t="s">
        <v>3141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3142</v>
      </c>
      <c r="C68" s="51">
        <v>2008</v>
      </c>
      <c r="D68" s="52" t="s">
        <v>3143</v>
      </c>
      <c r="E68" s="46" t="s">
        <v>3144</v>
      </c>
      <c r="F68" s="50" t="s">
        <v>3141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3138</v>
      </c>
      <c r="C69" s="46">
        <v>2011</v>
      </c>
      <c r="D69" s="46" t="s">
        <v>3139</v>
      </c>
      <c r="E69" s="46" t="s">
        <v>3140</v>
      </c>
      <c r="F69" s="50" t="s">
        <v>3141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13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3536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3663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3572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1174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3556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3338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3281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3319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3557</v>
      </c>
      <c r="G30" s="2">
        <v>-10000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3432</v>
      </c>
      <c r="G31" s="2">
        <v>-22000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3210</v>
      </c>
      <c r="G32" s="2">
        <v>-60000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>
        <v>45111</v>
      </c>
      <c r="M71" t="s">
        <v>3210</v>
      </c>
      <c r="N71" s="2">
        <v>-60000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  <row r="84" spans="1:4" x14ac:dyDescent="0.2">
      <c r="A84" s="1">
        <v>45111</v>
      </c>
      <c r="B84" s="1" t="s">
        <v>3266</v>
      </c>
      <c r="C84" t="s">
        <v>3210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P40" sqref="P40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45112</v>
      </c>
      <c r="H1" s="4" t="s">
        <v>5</v>
      </c>
      <c r="I1" t="s">
        <v>548</v>
      </c>
      <c r="J1" s="7">
        <f>AA5</f>
        <v>184585.66666666663</v>
      </c>
      <c r="K1" s="7"/>
      <c r="M1" s="15" t="s">
        <v>692</v>
      </c>
      <c r="N1" s="13">
        <f>COUNTA(H6:H1048576)-2</f>
        <v>5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4</v>
      </c>
      <c r="Z1" s="17" t="s">
        <v>971</v>
      </c>
      <c r="AA1" s="19">
        <f>(COUNTA(U5:U1048576)-2)*AD2</f>
        <v>64000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36917.133333333324</v>
      </c>
      <c r="K2" s="7"/>
      <c r="M2" s="15" t="s">
        <v>693</v>
      </c>
      <c r="N2" s="14">
        <f>GETPIVOTDATA("Utilidad",$H$4)/N1</f>
        <v>348942.4</v>
      </c>
      <c r="P2" t="s">
        <v>1607</v>
      </c>
      <c r="Q2" s="2">
        <f>-(Q1-J2)</f>
        <v>-13082.866666666676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1107513.9999999998</v>
      </c>
      <c r="K3" s="7"/>
      <c r="M3" s="15" t="s">
        <v>694</v>
      </c>
      <c r="N3" s="14">
        <f>N2*30</f>
        <v>10468272</v>
      </c>
      <c r="P3" t="s">
        <v>1608</v>
      </c>
      <c r="Q3" s="2">
        <f>Q2*N1</f>
        <v>-65414.333333333379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333333.33333333337</v>
      </c>
      <c r="AC3" s="32" t="s">
        <v>3023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166666.66666666669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976793</v>
      </c>
      <c r="X4" s="23" t="s">
        <v>1708</v>
      </c>
      <c r="AA4" s="19">
        <f>(1500000/30)*N1</f>
        <v>250000</v>
      </c>
      <c r="AC4" s="32" t="s">
        <v>3024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1522</v>
      </c>
      <c r="C5" s="7">
        <v>10000</v>
      </c>
      <c r="D5" s="7">
        <v>2800</v>
      </c>
      <c r="E5" s="7">
        <v>7200</v>
      </c>
      <c r="M5" s="15" t="s">
        <v>1666</v>
      </c>
      <c r="N5" s="7">
        <f>N4-J1</f>
        <v>-17918.999999999942</v>
      </c>
      <c r="Q5" s="2">
        <f>GETPIVOTDATA("Utilidad",$H$6)-AA1-AA2</f>
        <v>767919</v>
      </c>
      <c r="U5" s="4" t="s">
        <v>700</v>
      </c>
      <c r="V5" t="s">
        <v>2879</v>
      </c>
      <c r="X5" s="17" t="s">
        <v>105</v>
      </c>
      <c r="Y5" s="22" t="str">
        <f>N1&amp;" Dias"</f>
        <v>5 Dias</v>
      </c>
      <c r="Z5" s="17" t="s">
        <v>971</v>
      </c>
      <c r="AA5" s="19">
        <f>GETPIVOTDATA("Utilidad",$H$4)-AA2-AA1-AA3-AA4</f>
        <v>184585.66666666663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16</v>
      </c>
      <c r="C6" s="7">
        <v>40000</v>
      </c>
      <c r="D6" s="7">
        <v>17000</v>
      </c>
      <c r="E6" s="7">
        <v>23000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2</v>
      </c>
      <c r="U6" s="6">
        <v>45108</v>
      </c>
      <c r="V6" s="2">
        <v>-188600</v>
      </c>
      <c r="X6" s="23" t="s">
        <v>1211</v>
      </c>
      <c r="Y6" s="24">
        <f>J2</f>
        <v>36917.133333333324</v>
      </c>
      <c r="AC6" s="61" t="s">
        <v>3414</v>
      </c>
      <c r="AD6" s="62">
        <f>SUM(AA1:AA4)</f>
        <v>1560126.3333333335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586</v>
      </c>
      <c r="B7" t="s">
        <v>3091</v>
      </c>
      <c r="C7" s="7">
        <v>20000</v>
      </c>
      <c r="D7" s="7">
        <v>6000</v>
      </c>
      <c r="E7" s="7">
        <v>14000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255288</v>
      </c>
      <c r="U7" s="6">
        <v>45109</v>
      </c>
      <c r="V7" s="2">
        <v>-352800</v>
      </c>
      <c r="X7" s="17" t="s">
        <v>974</v>
      </c>
      <c r="Y7" s="18">
        <f>AA5/50000</f>
        <v>3.6917133333333325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677</v>
      </c>
      <c r="B8" t="s">
        <v>3683</v>
      </c>
      <c r="C8" s="7">
        <v>5000</v>
      </c>
      <c r="D8" s="7">
        <v>0</v>
      </c>
      <c r="E8" s="7">
        <v>5000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3" t="s">
        <v>3415</v>
      </c>
      <c r="AD8" s="64">
        <f>GETPIVOTDATA("Utilidad",$H$6)-AA1-AA2</f>
        <v>767919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3636</v>
      </c>
      <c r="B9" t="s">
        <v>672</v>
      </c>
      <c r="C9" s="7">
        <v>10000</v>
      </c>
      <c r="D9" s="7">
        <v>5000</v>
      </c>
      <c r="E9" s="7">
        <v>5000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3620</v>
      </c>
      <c r="B10" t="s">
        <v>3684</v>
      </c>
      <c r="C10" s="7">
        <v>5000</v>
      </c>
      <c r="D10" s="7">
        <v>0</v>
      </c>
      <c r="E10" s="7">
        <v>5000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5" t="s">
        <v>245</v>
      </c>
      <c r="V10" s="2">
        <v>-1529400</v>
      </c>
    </row>
    <row r="11" spans="1:43" x14ac:dyDescent="0.2">
      <c r="A11" t="s">
        <v>21</v>
      </c>
      <c r="B11" t="s">
        <v>1522</v>
      </c>
      <c r="C11" s="7">
        <v>10000</v>
      </c>
      <c r="D11" s="7">
        <v>2800</v>
      </c>
      <c r="E11" s="7">
        <v>7200</v>
      </c>
      <c r="F11" s="7"/>
      <c r="H11" s="6">
        <v>45112</v>
      </c>
      <c r="I11" s="7">
        <v>512000</v>
      </c>
      <c r="J11" s="7">
        <v>304339</v>
      </c>
      <c r="K11" s="7">
        <v>207661</v>
      </c>
    </row>
    <row r="12" spans="1:43" x14ac:dyDescent="0.2">
      <c r="A12" t="s">
        <v>48</v>
      </c>
      <c r="B12" t="s">
        <v>2745</v>
      </c>
      <c r="C12" s="7">
        <v>350000</v>
      </c>
      <c r="D12" s="7">
        <v>235000</v>
      </c>
      <c r="E12" s="7">
        <v>115000</v>
      </c>
      <c r="F12" s="7"/>
      <c r="H12" s="5" t="s">
        <v>245</v>
      </c>
      <c r="I12" s="7">
        <v>3651800</v>
      </c>
      <c r="J12" s="7">
        <v>1907088</v>
      </c>
      <c r="K12" s="7">
        <v>1744712</v>
      </c>
    </row>
    <row r="13" spans="1:43" x14ac:dyDescent="0.2">
      <c r="A13" t="s">
        <v>116</v>
      </c>
      <c r="B13" t="s">
        <v>515</v>
      </c>
      <c r="C13" s="7">
        <v>17500</v>
      </c>
      <c r="D13" s="7">
        <v>16353</v>
      </c>
      <c r="E13" s="7">
        <v>1147</v>
      </c>
      <c r="F13" s="7"/>
    </row>
    <row r="14" spans="1:43" x14ac:dyDescent="0.2">
      <c r="A14" t="s">
        <v>116</v>
      </c>
      <c r="B14" t="s">
        <v>518</v>
      </c>
      <c r="C14" s="7">
        <v>3500</v>
      </c>
      <c r="D14" s="7">
        <v>3270</v>
      </c>
      <c r="E14" s="7">
        <v>230</v>
      </c>
      <c r="F14" s="7"/>
    </row>
    <row r="15" spans="1:43" x14ac:dyDescent="0.2">
      <c r="A15" t="s">
        <v>116</v>
      </c>
      <c r="B15" t="s">
        <v>565</v>
      </c>
      <c r="C15" s="7">
        <v>15000</v>
      </c>
      <c r="D15" s="7">
        <v>14016</v>
      </c>
      <c r="E15" s="7">
        <v>984</v>
      </c>
      <c r="F15" s="7"/>
    </row>
    <row r="16" spans="1:43" x14ac:dyDescent="0.2">
      <c r="A16" t="s">
        <v>458</v>
      </c>
      <c r="B16" t="s">
        <v>3685</v>
      </c>
      <c r="C16" s="7">
        <v>2000</v>
      </c>
      <c r="D16" s="7">
        <v>0</v>
      </c>
      <c r="E16" s="7">
        <v>2000</v>
      </c>
      <c r="F16" s="7"/>
    </row>
    <row r="17" spans="1:11" x14ac:dyDescent="0.2">
      <c r="A17" t="s">
        <v>455</v>
      </c>
      <c r="B17" t="s">
        <v>456</v>
      </c>
      <c r="C17" s="7">
        <v>4000</v>
      </c>
      <c r="D17" s="7">
        <v>0</v>
      </c>
      <c r="E17" s="7">
        <v>4000</v>
      </c>
      <c r="F17" s="7"/>
    </row>
    <row r="18" spans="1:11" x14ac:dyDescent="0.2">
      <c r="A18" t="s">
        <v>225</v>
      </c>
      <c r="B18" t="s">
        <v>355</v>
      </c>
      <c r="C18" s="7">
        <v>10000</v>
      </c>
      <c r="D18" s="7">
        <v>1000</v>
      </c>
      <c r="E18" s="7">
        <v>9000</v>
      </c>
      <c r="F18" s="7"/>
    </row>
    <row r="19" spans="1:11" x14ac:dyDescent="0.2">
      <c r="A19" t="s">
        <v>225</v>
      </c>
      <c r="B19" t="s">
        <v>907</v>
      </c>
      <c r="C19" s="7">
        <v>10000</v>
      </c>
      <c r="D19" s="7">
        <v>1100</v>
      </c>
      <c r="E19" s="7">
        <v>8900</v>
      </c>
      <c r="F19" s="7"/>
    </row>
    <row r="20" spans="1:11" x14ac:dyDescent="0.2">
      <c r="A20" t="s">
        <v>245</v>
      </c>
      <c r="C20" s="7">
        <v>512000</v>
      </c>
      <c r="D20" s="7">
        <v>304339</v>
      </c>
      <c r="E20" s="7">
        <v>207661</v>
      </c>
      <c r="F20" s="7"/>
    </row>
    <row r="21" spans="1:11" x14ac:dyDescent="0.2">
      <c r="F21" s="7"/>
      <c r="I21">
        <v>20</v>
      </c>
      <c r="J21">
        <v>2800</v>
      </c>
      <c r="K21">
        <f>I21*J21</f>
        <v>56000</v>
      </c>
    </row>
    <row r="22" spans="1:11" x14ac:dyDescent="0.2">
      <c r="F22" s="7"/>
      <c r="K22">
        <v>11000</v>
      </c>
    </row>
    <row r="23" spans="1:11" x14ac:dyDescent="0.2">
      <c r="F23" s="7"/>
    </row>
    <row r="24" spans="1:11" x14ac:dyDescent="0.2">
      <c r="F24" s="7"/>
    </row>
    <row r="29" spans="1:11" x14ac:dyDescent="0.2">
      <c r="I29">
        <v>375000</v>
      </c>
      <c r="J29" t="s">
        <v>3675</v>
      </c>
    </row>
    <row r="34" spans="6:11" x14ac:dyDescent="0.2">
      <c r="F34" s="65"/>
    </row>
    <row r="40" spans="6:11" x14ac:dyDescent="0.2">
      <c r="I40" s="41" t="s">
        <v>3017</v>
      </c>
      <c r="J40" s="39">
        <v>23000</v>
      </c>
      <c r="K40" s="40">
        <f>J40</f>
        <v>23000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7</v>
      </c>
      <c r="K42" s="2">
        <f t="shared" ref="K42:K52" si="1">I42*J42</f>
        <v>350000</v>
      </c>
    </row>
    <row r="43" spans="6:11" x14ac:dyDescent="0.2">
      <c r="I43">
        <v>20000</v>
      </c>
      <c r="J43">
        <v>1</v>
      </c>
      <c r="K43" s="2">
        <f t="shared" si="1"/>
        <v>20000</v>
      </c>
    </row>
    <row r="44" spans="6:11" x14ac:dyDescent="0.2">
      <c r="I44">
        <v>10000</v>
      </c>
      <c r="J44">
        <v>4</v>
      </c>
      <c r="K44" s="2">
        <f t="shared" si="1"/>
        <v>40000</v>
      </c>
    </row>
    <row r="45" spans="6:11" x14ac:dyDescent="0.2">
      <c r="I45">
        <v>5000</v>
      </c>
      <c r="J45">
        <v>6</v>
      </c>
      <c r="K45" s="2">
        <f t="shared" si="1"/>
        <v>30000</v>
      </c>
    </row>
    <row r="46" spans="6:11" x14ac:dyDescent="0.2">
      <c r="I46">
        <v>2000</v>
      </c>
      <c r="J46">
        <v>24</v>
      </c>
      <c r="K46" s="2">
        <f t="shared" si="1"/>
        <v>48000</v>
      </c>
    </row>
    <row r="47" spans="6:11" x14ac:dyDescent="0.2">
      <c r="I47">
        <v>1000</v>
      </c>
      <c r="J47">
        <v>1</v>
      </c>
      <c r="K47" s="2">
        <f t="shared" si="1"/>
        <v>1000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512000</v>
      </c>
    </row>
    <row r="54" spans="9:11" x14ac:dyDescent="0.2">
      <c r="K54" s="2">
        <f>GETPIVOTDATA("Ventas",$A$4)</f>
        <v>512000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2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2853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3060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2770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2664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2670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3262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2768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2364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2628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2446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2436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2515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2890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2678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2808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2889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2681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3123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3390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3209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2575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3231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2775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2502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2447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3329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3185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3015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3598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2510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2675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3279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3405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3620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3470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3430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15" sqref="C1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44825</v>
      </c>
      <c r="B5" s="8" t="s">
        <v>260</v>
      </c>
      <c r="C5" t="s">
        <v>478</v>
      </c>
      <c r="D5" s="7">
        <v>1</v>
      </c>
      <c r="E5" s="7">
        <v>85000</v>
      </c>
      <c r="F5" s="7">
        <v>145000</v>
      </c>
    </row>
    <row r="6" spans="1:6" x14ac:dyDescent="0.2">
      <c r="A6" s="1">
        <v>44825</v>
      </c>
      <c r="B6" s="8" t="s">
        <v>261</v>
      </c>
      <c r="C6" t="s">
        <v>478</v>
      </c>
      <c r="D6" s="7">
        <v>1</v>
      </c>
      <c r="E6" s="7">
        <v>85000</v>
      </c>
      <c r="F6" s="7">
        <v>145000</v>
      </c>
    </row>
    <row r="7" spans="1:6" x14ac:dyDescent="0.2">
      <c r="A7" s="1">
        <v>45091</v>
      </c>
      <c r="B7" s="8" t="s">
        <v>261</v>
      </c>
      <c r="C7" t="s">
        <v>478</v>
      </c>
      <c r="D7" s="7">
        <v>1</v>
      </c>
      <c r="E7" s="7">
        <v>60000</v>
      </c>
      <c r="F7" s="7">
        <v>125000</v>
      </c>
    </row>
    <row r="8" spans="1:6" x14ac:dyDescent="0.2">
      <c r="A8" s="1" t="s">
        <v>245</v>
      </c>
      <c r="D8" s="7">
        <v>3</v>
      </c>
      <c r="E8" s="7">
        <v>76666.666666666672</v>
      </c>
      <c r="F8" s="7">
        <v>138333.33333333334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2823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2023-07-06T11:32:29Z</dcterms:modified>
</cp:coreProperties>
</file>