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FAD2E4E-0969-2F4C-B6F0-2F6E5EFBE459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881" r:id="rId13"/>
    <pivotCache cacheId="891" r:id="rId14"/>
    <pivotCache cacheId="89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670" i="1" l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<sst xmlns="http://schemas.openxmlformats.org/spreadsheetml/2006/main" count="61388" uniqueCount="3668">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</sst>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10" formatCode="&quot;$&quot;#,##0;[Red]\-&quot;$&quot;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30" formatCode="@"/>
    </dxf>
    <dxf>
      <numFmt numFmtId="30" formatCode="@"/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8.91678159722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8.916782291664" createdVersion="8" refreshedVersion="8" minRefreshableVersion="3" recordCount="1167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621"/>
    </cacheField>
    <cacheField name="Date" numFmtId="16">
      <sharedItems containsSemiMixedTypes="0" containsNonDate="0" containsDate="1" containsString="0" minDate="2022-03-16T00:00:00" maxDate="2023-07-02T00:00:00" count="40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33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8.916791782409" createdVersion="8" refreshedVersion="8" minRefreshableVersion="3" recordCount="81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2T00:00:00" count="30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7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89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0" firstHeaderRow="1" firstDataRow="1" firstDataCol="2"/>
  <pivotFields count="4">
    <pivotField axis="axisRow" compact="0" numFmtId="16" outline="0" showAll="0" sortType="ascending" defaultSubtotal="0">
      <items count="30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9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 t="grand">
      <x/>
    </i>
  </rowItems>
  <colItems count="1">
    <i/>
  </colItems>
  <dataFields count="1">
    <dataField name="Suma de Deuda" fld="3" baseField="0" baseItem="0" numFmtId="6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89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13"/>
    </i>
    <i>
      <x v="16"/>
    </i>
    <i>
      <x v="30"/>
    </i>
    <i>
      <x v="33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89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8" firstHeaderRow="0" firstDataRow="1" firstDataCol="1" rowPageCount="4" colPageCount="1"/>
  <pivotFields count="19">
    <pivotField showAll="0"/>
    <pivotField axis="axisRow" multipleItemSelectionAllowed="1" showAll="0" sortType="ascending">
      <items count="402">
        <item m="1" x="40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4">
        <item x="13"/>
        <item x="16"/>
        <item x="21"/>
        <item x="8"/>
        <item x="3"/>
        <item x="25"/>
        <item x="0"/>
        <item m="1" x="29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7"/>
        <item x="47"/>
        <item x="48"/>
        <item x="49"/>
        <item x="50"/>
        <item x="51"/>
        <item x="52"/>
        <item x="53"/>
        <item x="4"/>
        <item m="1" x="294"/>
        <item x="54"/>
        <item x="55"/>
        <item x="56"/>
        <item x="57"/>
        <item m="1" x="301"/>
        <item x="58"/>
        <item x="59"/>
        <item x="60"/>
        <item m="1" x="30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1"/>
        <item x="78"/>
        <item x="79"/>
        <item x="80"/>
        <item m="1" x="288"/>
        <item x="81"/>
        <item x="82"/>
        <item x="83"/>
        <item x="76"/>
        <item x="85"/>
        <item x="86"/>
        <item m="1" x="29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0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9"/>
        <item x="128"/>
        <item x="129"/>
        <item x="130"/>
        <item x="131"/>
        <item x="132"/>
        <item x="133"/>
        <item m="1" x="30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0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10">
      <pivotArea outline="0" collapsedLevelsAreSubtotals="1" fieldPosition="0"/>
    </format>
    <format dxfId="11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12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1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89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3">
        <item m="1" x="294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8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2"/>
        <item m="1" x="289"/>
        <item x="1"/>
        <item x="116"/>
        <item x="35"/>
        <item x="61"/>
        <item m="1" x="30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00"/>
        <item x="111"/>
        <item x="29"/>
        <item x="20"/>
        <item x="53"/>
        <item x="19"/>
        <item x="85"/>
        <item x="114"/>
        <item x="33"/>
        <item m="1" x="290"/>
        <item x="66"/>
        <item x="26"/>
        <item x="37"/>
        <item x="137"/>
        <item x="73"/>
        <item x="59"/>
        <item x="60"/>
        <item x="34"/>
        <item x="45"/>
        <item x="62"/>
        <item m="1" x="291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8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0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0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89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5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x="3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253"/>
        <item x="56"/>
        <item m="1" x="29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5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9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8"/>
        <item x="54"/>
        <item x="23"/>
        <item x="150"/>
        <item x="213"/>
        <item x="243"/>
        <item x="63"/>
        <item x="10"/>
        <item x="146"/>
        <item x="171"/>
        <item x="247"/>
        <item m="1" x="293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2"/>
        <item m="1" x="289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2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1"/>
        <item x="159"/>
        <item x="227"/>
        <item x="100"/>
        <item x="111"/>
        <item x="205"/>
        <item x="273"/>
        <item m="1" x="286"/>
        <item x="29"/>
        <item x="20"/>
        <item x="255"/>
        <item x="53"/>
        <item x="19"/>
        <item x="220"/>
        <item x="85"/>
        <item x="114"/>
        <item x="33"/>
        <item m="1" x="290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1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3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31"/>
        <item m="1" x="2432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46">
    <i>
      <x v="1"/>
      <x v="2317"/>
    </i>
    <i>
      <x v="7"/>
      <x v="625"/>
    </i>
    <i>
      <x v="11"/>
      <x v="2285"/>
    </i>
    <i>
      <x v="30"/>
      <x v="3"/>
    </i>
    <i>
      <x v="40"/>
      <x v="436"/>
    </i>
    <i r="1">
      <x v="2225"/>
    </i>
    <i>
      <x v="48"/>
      <x v="2197"/>
    </i>
    <i>
      <x v="57"/>
      <x v="454"/>
    </i>
    <i>
      <x v="107"/>
      <x v="20"/>
    </i>
    <i r="1">
      <x v="112"/>
    </i>
    <i r="1">
      <x v="551"/>
    </i>
    <i>
      <x v="119"/>
      <x v="2327"/>
    </i>
    <i>
      <x v="140"/>
      <x v="1800"/>
    </i>
    <i>
      <x v="141"/>
      <x v="301"/>
    </i>
    <i r="1">
      <x v="550"/>
    </i>
    <i r="1">
      <x v="551"/>
    </i>
    <i r="1">
      <x v="1838"/>
    </i>
    <i>
      <x v="143"/>
      <x v="2431"/>
    </i>
    <i>
      <x v="165"/>
      <x v="969"/>
    </i>
    <i r="1">
      <x v="1881"/>
    </i>
    <i>
      <x v="183"/>
      <x v="2235"/>
    </i>
    <i>
      <x v="190"/>
      <x v="2358"/>
    </i>
    <i>
      <x v="203"/>
      <x v="520"/>
    </i>
    <i>
      <x v="212"/>
      <x v="2288"/>
    </i>
    <i>
      <x v="213"/>
      <x v="2233"/>
    </i>
    <i>
      <x v="224"/>
      <x v="320"/>
    </i>
    <i r="1">
      <x v="321"/>
    </i>
    <i r="1">
      <x v="323"/>
    </i>
    <i r="1">
      <x v="353"/>
    </i>
    <i>
      <x v="229"/>
      <x v="2287"/>
    </i>
    <i>
      <x v="232"/>
      <x v="2427"/>
    </i>
    <i r="1">
      <x v="2428"/>
    </i>
    <i r="1">
      <x v="2429"/>
    </i>
    <i r="1">
      <x v="2430"/>
    </i>
    <i>
      <x v="236"/>
      <x v="12"/>
    </i>
    <i r="1">
      <x v="145"/>
    </i>
    <i r="1">
      <x v="301"/>
    </i>
    <i r="1">
      <x v="551"/>
    </i>
    <i r="1">
      <x v="1520"/>
    </i>
    <i r="1">
      <x v="2099"/>
    </i>
    <i>
      <x v="237"/>
      <x v="317"/>
    </i>
    <i r="1">
      <x v="377"/>
    </i>
    <i>
      <x v="258"/>
      <x v="1422"/>
    </i>
    <i>
      <x v="266"/>
      <x v="626"/>
    </i>
    <i>
      <x v="293"/>
      <x v="33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8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89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1">
        <item m="1" x="40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33">
        <item h="1" m="1" x="2432"/>
        <item h="1" m="1" x="2431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925"/>
        <item h="1" x="1608"/>
        <item h="1" x="682"/>
        <item h="1" x="2188"/>
        <item h="1" x="2058"/>
        <item h="1" x="879"/>
        <item h="1" x="1068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5"/>
        <item h="1" x="1833"/>
        <item h="1" x="1452"/>
        <item h="1" x="2364"/>
        <item h="1" x="236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221"/>
      <x v="1"/>
      <x v="111"/>
    </i>
    <i r="1">
      <x v="3"/>
      <x v="111"/>
    </i>
    <i>
      <x v="273"/>
      <x v="3"/>
      <x v="111"/>
    </i>
    <i>
      <x v="358"/>
      <x v="1"/>
      <x v="111"/>
    </i>
    <i>
      <x v="359"/>
      <x v="3"/>
      <x v="111"/>
    </i>
    <i>
      <x v="399"/>
      <x v="1"/>
      <x v="111"/>
    </i>
    <i>
      <x v="400"/>
      <x v="3"/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8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1">
        <item m="1" x="40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3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1"/>
        <item h="1" m="1" x="2432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8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1">
        <item m="1" x="40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3">
        <item h="1" m="1" x="294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8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2"/>
        <item h="1" m="1" x="289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7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1"/>
        <item h="1" x="159"/>
        <item h="1" x="227"/>
        <item h="1" x="100"/>
        <item h="1" x="111"/>
        <item h="1" x="205"/>
        <item h="1" m="1" x="286"/>
        <item h="1" x="29"/>
        <item h="1" x="20"/>
        <item h="1" x="53"/>
        <item h="1" x="19"/>
        <item h="1" x="220"/>
        <item h="1" x="85"/>
        <item h="1" x="114"/>
        <item h="1" x="33"/>
        <item h="1" m="1" x="290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1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7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8"/>
        <item h="1" x="272"/>
        <item h="1" x="273"/>
        <item h="1" x="274"/>
        <item h="1" x="275"/>
        <item h="1" x="276"/>
        <item h="1" x="277"/>
        <item h="1" m="1" x="292"/>
        <item h="1" x="278"/>
        <item h="1" x="279"/>
        <item h="1" x="281"/>
        <item h="1" x="282"/>
        <item h="1" m="1" x="293"/>
        <item h="1" x="284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3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1"/>
        <item h="1" m="1" x="2432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3">
        <i x="294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6"/>
        <i x="2"/>
        <i x="253"/>
        <i x="56"/>
        <i x="298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5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9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8"/>
        <i x="54"/>
        <i x="23"/>
        <i x="150"/>
        <i x="213"/>
        <i x="243"/>
        <i x="63"/>
        <i x="10"/>
        <i x="146"/>
        <i x="171"/>
        <i x="247"/>
        <i x="293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2"/>
        <i x="289"/>
        <i x="155"/>
        <i x="148"/>
        <i x="167"/>
        <i x="188"/>
        <i x="277"/>
        <i x="177"/>
        <i x="1"/>
        <i x="116"/>
        <i x="248"/>
        <i x="35"/>
        <i x="61"/>
        <i x="30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2"/>
        <i x="179"/>
        <i x="141"/>
        <i x="97"/>
        <i x="88"/>
        <i x="70"/>
        <i x="69"/>
        <i x="297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1"/>
        <i x="159"/>
        <i x="227"/>
        <i x="100"/>
        <i x="111"/>
        <i x="205"/>
        <i x="273"/>
        <i x="286"/>
        <i x="29"/>
        <i x="20"/>
        <i x="255"/>
        <i x="53"/>
        <i x="19"/>
        <i x="220"/>
        <i x="85"/>
        <i x="114"/>
        <i x="33"/>
        <i x="290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1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3">
        <i x="101"/>
        <i x="224"/>
        <i x="81"/>
        <i x="136"/>
        <i x="139"/>
        <i x="55"/>
        <i x="247"/>
        <i x="95"/>
        <i x="84" s="1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27" nd="1"/>
        <i x="175" nd="1"/>
        <i x="160" nd="1"/>
        <i x="210" nd="1"/>
        <i x="215" nd="1"/>
        <i x="125" nd="1"/>
        <i x="189" nd="1"/>
        <i x="124" nd="1"/>
        <i x="123" nd="1"/>
        <i x="109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33">
        <i x="1001"/>
        <i x="174"/>
        <i x="1080"/>
        <i x="534"/>
        <i x="1102"/>
        <i x="2387"/>
        <i x="173"/>
        <i x="177"/>
        <i x="2410"/>
        <i x="2002"/>
        <i x="511"/>
        <i x="1644"/>
        <i x="367"/>
        <i x="431" s="1"/>
        <i x="1014"/>
        <i x="178"/>
        <i x="141"/>
        <i x="961"/>
        <i x="799"/>
        <i x="2296"/>
        <i x="1698"/>
        <i x="217"/>
        <i x="1574"/>
        <i x="1645"/>
        <i x="1016"/>
        <i x="512"/>
        <i x="2022"/>
        <i x="1591"/>
        <i x="200"/>
        <i x="1699"/>
        <i x="2264"/>
        <i x="786"/>
        <i x="2014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432" nd="1"/>
        <i x="2431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267" nd="1"/>
        <i x="535" nd="1"/>
        <i x="634" nd="1"/>
        <i x="136" nd="1"/>
        <i x="362" nd="1"/>
        <i x="1432" nd="1"/>
        <i x="1928" nd="1"/>
        <i x="1129" nd="1"/>
        <i x="1130" nd="1"/>
        <i x="762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1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0" nd="1"/>
        <i x="1093" nd="1"/>
        <i x="756" nd="1"/>
        <i x="1133" nd="1"/>
        <i x="179" nd="1"/>
        <i x="1826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4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2095" nd="1"/>
        <i x="277" nd="1"/>
        <i x="1965" nd="1"/>
        <i x="383" nd="1"/>
        <i x="1603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1" nd="1"/>
        <i x="276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237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33">
        <i x="298"/>
        <i x="1851" s="1"/>
        <i x="237"/>
        <i x="521"/>
        <i x="2432" nd="1"/>
        <i x="2431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3">
        <i x="105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33">
        <i x="644"/>
        <i x="364"/>
        <i x="317"/>
        <i x="150" s="1"/>
        <i x="316"/>
        <i x="237"/>
        <i x="315"/>
        <i x="1340"/>
        <i x="133"/>
        <i x="297"/>
        <i x="2432" nd="1"/>
        <i x="2431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3">
        <i x="36"/>
        <i x="81"/>
        <i x="55"/>
        <i x="95" s="1"/>
        <i x="84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674" totalsRowShown="0">
  <autoFilter ref="A1:S11674" xr:uid="{00000000-0009-0000-0100-000001000000}"/>
  <tableColumns count="19">
    <tableColumn id="1" xr3:uid="{00000000-0010-0000-0000-000001000000}" name="id_merc"/>
    <tableColumn id="2" xr3:uid="{00000000-0010-0000-0000-000002000000}" name="Date" dataDxfId="23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22"/>
    <tableColumn id="15" xr3:uid="{00000000-0010-0000-0000-00000F000000}" name="Sale" dataDxfId="21"/>
    <tableColumn id="16" xr3:uid="{00000000-0010-0000-0000-000010000000}" name="Subt_Cost" dataDxfId="20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19">
      <calculatedColumnFormula>IF(Tabla1[[#This Row],[Mov]]="VNT",-Tabla1[[#This Row],[Cant]],Tabla1[[#This Row],[Cant]])</calculatedColumnFormula>
    </tableColumn>
    <tableColumn id="18" xr3:uid="{A582B3DC-778C-CD40-A552-20974059F1C5}" name="Dia" dataDxfId="18">
      <calculatedColumnFormula>DAY(Tabla1[[#This Row],[Date]])</calculatedColumnFormula>
    </tableColumn>
    <tableColumn id="19" xr3:uid="{241CCDE8-2E28-B04F-91BC-963050B71AAA}" name="Mes" dataDxfId="17">
      <calculatedColumnFormula>MONTH(Tabla1[[#This Row],[Date]])</calculatedColumnFormula>
    </tableColumn>
    <tableColumn id="20" xr3:uid="{C45199A0-A2DD-E84E-B004-092ED61B0386}" name="Año" dataDxfId="16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8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67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66"/>
    <tableColumn id="15" xr3:uid="{9998FCBB-B18A-6A46-9A83-15ED0F9F6F8F}" name="Sale" dataDxfId="65"/>
    <tableColumn id="16" xr3:uid="{64F32D29-193F-3946-939C-AAFFAC1761F6}" name="Utilidad" dataDxfId="64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63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62" totalsRowDxfId="61"/>
    <tableColumn id="2" xr3:uid="{6656E56C-7229-EC44-B7C7-C570C627BE05}" name="Placa" dataDxfId="60" totalsRowDxfId="59"/>
    <tableColumn id="3" xr3:uid="{5969C9C1-5714-C84B-8A4A-955D8A9C988C}" name="Modelo" dataDxfId="58" totalsRowDxfId="57"/>
    <tableColumn id="4" xr3:uid="{AADFD6F9-2CFB-C349-AE0B-6915119E44B0}" name="Marca" dataDxfId="56" totalsRowDxfId="55"/>
    <tableColumn id="5" xr3:uid="{D8A1DAAD-ADA2-A14D-94C8-F760F203B483}" name="Línea" dataDxfId="54" totalsRowDxfId="53"/>
    <tableColumn id="6" xr3:uid="{4137C361-D98F-D44C-9E45-3A247472DA27}" name="Estado de obligación" dataDxfId="52" totalsRowDxfId="51"/>
    <tableColumn id="7" xr3:uid="{A4446855-2379-2C45-9B79-F0ED702A58BF}" name="Obligación" totalsRowFunction="sum" dataDxfId="50" totalsRowDxfId="49" dataCellStyle="Moneda [0]" totalsRowCellStyle="Moneda [0]"/>
    <tableColumn id="8" xr3:uid="{C9F9EF32-0EDB-F14B-9FA9-017F91B4BD87}" name="Referencia" dataDxfId="48" totalsRowDxfId="47"/>
    <tableColumn id="9" xr3:uid="{0D3A213A-15E3-0845-9B89-F243246AE4ED}" name="Total a pagar" dataDxfId="46" totalsRowDxfId="45"/>
    <tableColumn id="10" xr3:uid="{D0D7E028-8821-1B42-B84A-164F1586E1B7}" name="Objeto contrato" dataDxfId="44" totalsRowDxfId="4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2" totalsRowShown="0">
  <autoFilter ref="A1:D82" xr:uid="{FA62590B-3FA3-C746-AC74-3C8D9345B30B}"/>
  <tableColumns count="4">
    <tableColumn id="1" xr3:uid="{04670D22-13FB-8144-A03B-A0F01F39D181}" name="Fecha" dataDxfId="42"/>
    <tableColumn id="3" xr3:uid="{D9E477F0-E660-3D40-B73C-77E62555648B}" name="Movimiento" dataDxfId="41"/>
    <tableColumn id="2" xr3:uid="{138C91C9-7473-CE40-AF4C-77BC7A374BC9}" name="Producto"/>
    <tableColumn id="4" xr3:uid="{A2D6EC26-DD78-2642-9CFE-02643C184E6C}" name="Deuda" dataDxfId="4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39" dataDxfId="38" dataCellStyle="Moneda [0]">
  <autoFilter ref="AG1:AQ7" xr:uid="{0C5BB272-D355-5F43-B38F-54DED6184EE3}"/>
  <tableColumns count="11">
    <tableColumn id="1" xr3:uid="{D3901D5E-4D18-C54F-B3CF-C8D9063E30EE}" name="Mes" dataDxfId="37"/>
    <tableColumn id="2" xr3:uid="{455801BB-35FB-9740-ADE1-B9FB72A20FF5}" name="Arriendo" dataDxfId="36" dataCellStyle="Moneda [0]"/>
    <tableColumn id="3" xr3:uid="{01207984-16C3-1B4C-94D1-5A6B3F6C9188}" name="Servicios" dataDxfId="35" dataCellStyle="Moneda [0]"/>
    <tableColumn id="4" xr3:uid="{245A27EB-DE73-A448-ACC6-7B575DF5FD74}" name="Internet" dataDxfId="34" dataCellStyle="Moneda [0]"/>
    <tableColumn id="5" xr3:uid="{2AE163B5-35BE-514C-982D-523E68DCCF9D}" name="Linea Movil" dataDxfId="33" dataCellStyle="Moneda [0]"/>
    <tableColumn id="9" xr3:uid="{1C9BB065-2A96-DD40-A134-A98FBFEF95D9}" name="Internet Cas" dataDxfId="32" dataCellStyle="Moneda [0]"/>
    <tableColumn id="7" xr3:uid="{1E108FA4-4167-9947-B950-700B0EBA1F38}" name="Amazon Music" dataDxfId="31" dataCellStyle="Moneda [0]"/>
    <tableColumn id="8" xr3:uid="{27C98C1E-1C50-EE4F-96FD-0F61D6230A0D}" name="Youtube" dataDxfId="30" dataCellStyle="Moneda [0]"/>
    <tableColumn id="10" xr3:uid="{7B54DD16-C267-3348-988E-5B20CD99E2D8}" name="Apple" dataDxfId="29" dataCellStyle="Moneda [0]"/>
    <tableColumn id="11" xr3:uid="{ADF1448B-9A19-1648-9C2F-201E438F26E0}" name="Internet Padres" dataDxfId="28" dataCellStyle="Moneda [0]"/>
    <tableColumn id="6" xr3:uid="{888D3CA2-EEF1-D04B-BEAB-5DD657903E3B}" name="Total" dataDxfId="27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26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25"/>
    <tableColumn id="9" xr3:uid="{65947A7C-FB24-3B42-AA06-8A986B0991E3}" name="Imei 2" dataDxfId="24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674"/>
  <sheetViews>
    <sheetView topLeftCell="A11614" zoomScale="80" zoomScaleNormal="80" workbookViewId="0">
      <selection activeCell="L11672" sqref="L1167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677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2"/>
  <sheetViews>
    <sheetView workbookViewId="0">
      <selection activeCell="C30" sqref="C30:C33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1174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3338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3556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3210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3536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3572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3663</v>
      </c>
      <c r="G31" s="2">
        <v>-10000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3432</v>
      </c>
      <c r="G32" s="2">
        <v>-22000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-322000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 t="s">
        <v>245</v>
      </c>
      <c r="N70" s="2">
        <v>-322000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K17" sqref="K17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45108</v>
      </c>
      <c r="H1" s="4" t="s">
        <v>5</v>
      </c>
      <c r="I1" t="s">
        <v>548</v>
      </c>
      <c r="J1" s="7">
        <f>AA5</f>
        <v>527690.33333333337</v>
      </c>
      <c r="K1" s="7"/>
      <c r="M1" s="15" t="s">
        <v>692</v>
      </c>
      <c r="N1" s="13">
        <f>COUNTA(H6:H1048576)-2</f>
        <v>1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</v>
      </c>
      <c r="Z1" s="17" t="s">
        <v>971</v>
      </c>
      <c r="AA1" s="19">
        <f>(COUNTA(U5:U1048576)-2)*AD2</f>
        <v>16000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527690.33333333337</v>
      </c>
      <c r="K2" s="7"/>
      <c r="M2" s="15" t="s">
        <v>693</v>
      </c>
      <c r="N2" s="14">
        <f>GETPIVOTDATA("Utilidad",$H$4)/N1</f>
        <v>660357</v>
      </c>
      <c r="P2" t="s">
        <v>1607</v>
      </c>
      <c r="Q2" s="2">
        <f>-(Q1-J2)</f>
        <v>477690.33333333337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0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15830710.000000002</v>
      </c>
      <c r="K3" s="7"/>
      <c r="M3" s="15" t="s">
        <v>694</v>
      </c>
      <c r="N3" s="14">
        <f>N2*30</f>
        <v>19810710</v>
      </c>
      <c r="P3" t="s">
        <v>1608</v>
      </c>
      <c r="Q3" s="2">
        <f>Q2*N1</f>
        <v>477690.33333333337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66666.666666666672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33333.333333333336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16000</v>
      </c>
      <c r="X4" s="23" t="s">
        <v>1708</v>
      </c>
      <c r="AA4" s="19">
        <f>(1500000/30)*N1</f>
        <v>50000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3510</v>
      </c>
      <c r="C5" s="7">
        <v>25000</v>
      </c>
      <c r="D5" s="7">
        <v>10000</v>
      </c>
      <c r="E5" s="7">
        <v>15000</v>
      </c>
      <c r="M5" s="15" t="s">
        <v>1666</v>
      </c>
      <c r="N5" s="7">
        <f>N4-J1</f>
        <v>-494357.00000000006</v>
      </c>
      <c r="Q5" s="2">
        <f>GETPIVOTDATA("Utilidad",$H$6)-AA1-AA2</f>
        <v>644357</v>
      </c>
      <c r="U5" s="4" t="s">
        <v>700</v>
      </c>
      <c r="V5" t="s">
        <v>2879</v>
      </c>
      <c r="X5" s="17" t="s">
        <v>105</v>
      </c>
      <c r="Y5" s="22" t="str">
        <f>N1&amp;" Dias"</f>
        <v>1 Dias</v>
      </c>
      <c r="Z5" s="17" t="s">
        <v>971</v>
      </c>
      <c r="AA5" s="19">
        <f>GETPIVOTDATA("Utilidad",$H$4)-AA2-AA1-AA3-AA4</f>
        <v>527690.33333333337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201</v>
      </c>
      <c r="B6" t="s">
        <v>1026</v>
      </c>
      <c r="C6" s="7">
        <v>210000</v>
      </c>
      <c r="D6" s="7">
        <v>160000</v>
      </c>
      <c r="E6" s="7">
        <v>50000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1</v>
      </c>
      <c r="U6" s="6">
        <v>45108</v>
      </c>
      <c r="V6" s="2">
        <v>-188600</v>
      </c>
      <c r="X6" s="23" t="s">
        <v>1211</v>
      </c>
      <c r="Y6" s="24">
        <f>J2</f>
        <v>527690.33333333337</v>
      </c>
      <c r="AC6" s="61" t="s">
        <v>3414</v>
      </c>
      <c r="AD6" s="62">
        <f>SUM(AA1:AA4)</f>
        <v>132666.66666666669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44</v>
      </c>
      <c r="B7" t="s">
        <v>3466</v>
      </c>
      <c r="C7" s="7">
        <v>53000</v>
      </c>
      <c r="D7" s="7">
        <v>30000</v>
      </c>
      <c r="E7" s="7">
        <v>23000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339643</v>
      </c>
      <c r="U7" s="5" t="s">
        <v>245</v>
      </c>
      <c r="V7" s="2">
        <v>-188600</v>
      </c>
      <c r="X7" s="17" t="s">
        <v>974</v>
      </c>
      <c r="Y7" s="18">
        <f>AA5/50000</f>
        <v>10.553806666666667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15</v>
      </c>
      <c r="B8" t="s">
        <v>154</v>
      </c>
      <c r="C8" s="7">
        <v>6000</v>
      </c>
      <c r="D8" s="7">
        <v>2500</v>
      </c>
      <c r="E8" s="7">
        <v>3500</v>
      </c>
      <c r="F8" s="7"/>
      <c r="H8" s="5" t="s">
        <v>245</v>
      </c>
      <c r="I8" s="7">
        <v>1507300</v>
      </c>
      <c r="J8" s="7">
        <v>846943</v>
      </c>
      <c r="K8" s="7">
        <v>660357</v>
      </c>
      <c r="Q8" s="3"/>
      <c r="AC8" s="63" t="s">
        <v>3415</v>
      </c>
      <c r="AD8" s="64">
        <f>GETPIVOTDATA("Utilidad",$H$6)-AA1-AA2</f>
        <v>644357</v>
      </c>
    </row>
    <row r="9" spans="1:43" x14ac:dyDescent="0.2">
      <c r="A9" t="s">
        <v>26</v>
      </c>
      <c r="B9" t="s">
        <v>20</v>
      </c>
      <c r="C9" s="7">
        <v>20000</v>
      </c>
      <c r="D9" s="7">
        <v>8500</v>
      </c>
      <c r="E9" s="7">
        <v>11500</v>
      </c>
      <c r="F9" s="7"/>
      <c r="Q9" s="7"/>
    </row>
    <row r="10" spans="1:43" x14ac:dyDescent="0.2">
      <c r="A10" t="s">
        <v>26</v>
      </c>
      <c r="B10" t="s">
        <v>3375</v>
      </c>
      <c r="C10" s="7">
        <v>39000</v>
      </c>
      <c r="D10" s="7">
        <v>20000</v>
      </c>
      <c r="E10" s="7">
        <v>19000</v>
      </c>
      <c r="F10" s="7"/>
    </row>
    <row r="11" spans="1:43" x14ac:dyDescent="0.2">
      <c r="A11" t="s">
        <v>3209</v>
      </c>
      <c r="B11" t="s">
        <v>3338</v>
      </c>
      <c r="C11" s="7">
        <v>65000</v>
      </c>
      <c r="D11" s="7">
        <v>42000</v>
      </c>
      <c r="E11" s="7">
        <v>23000</v>
      </c>
      <c r="F11" s="7"/>
    </row>
    <row r="12" spans="1:43" x14ac:dyDescent="0.2">
      <c r="A12" t="s">
        <v>734</v>
      </c>
      <c r="B12" t="s">
        <v>736</v>
      </c>
      <c r="C12" s="7">
        <v>69000</v>
      </c>
      <c r="D12" s="7">
        <v>38000</v>
      </c>
      <c r="E12" s="7">
        <v>31000</v>
      </c>
      <c r="F12" s="7"/>
    </row>
    <row r="13" spans="1:43" x14ac:dyDescent="0.2">
      <c r="A13" t="s">
        <v>891</v>
      </c>
      <c r="B13" t="s">
        <v>252</v>
      </c>
      <c r="C13" s="7">
        <v>10000</v>
      </c>
      <c r="D13" s="7">
        <v>3500</v>
      </c>
      <c r="E13" s="7">
        <v>6500</v>
      </c>
      <c r="F13" s="7"/>
    </row>
    <row r="14" spans="1:43" x14ac:dyDescent="0.2">
      <c r="A14" t="s">
        <v>891</v>
      </c>
      <c r="B14" t="s">
        <v>250</v>
      </c>
      <c r="C14" s="7">
        <v>10000</v>
      </c>
      <c r="D14" s="7">
        <v>3500</v>
      </c>
      <c r="E14" s="7">
        <v>6500</v>
      </c>
      <c r="F14" s="7"/>
    </row>
    <row r="15" spans="1:43" x14ac:dyDescent="0.2">
      <c r="A15" t="s">
        <v>891</v>
      </c>
      <c r="B15" t="s">
        <v>908</v>
      </c>
      <c r="C15" s="7">
        <v>10000</v>
      </c>
      <c r="D15" s="7">
        <v>3500</v>
      </c>
      <c r="E15" s="7">
        <v>6500</v>
      </c>
      <c r="F15" s="7"/>
    </row>
    <row r="16" spans="1:43" x14ac:dyDescent="0.2">
      <c r="A16" t="s">
        <v>586</v>
      </c>
      <c r="B16" t="s">
        <v>3525</v>
      </c>
      <c r="C16" s="7">
        <v>20000</v>
      </c>
      <c r="D16" s="7">
        <v>7000</v>
      </c>
      <c r="E16" s="7">
        <v>13000</v>
      </c>
      <c r="F16" s="7"/>
    </row>
    <row r="17" spans="1:9" x14ac:dyDescent="0.2">
      <c r="A17" t="s">
        <v>2046</v>
      </c>
      <c r="B17" t="s">
        <v>2744</v>
      </c>
      <c r="C17" s="7">
        <v>30000</v>
      </c>
      <c r="D17" s="7">
        <v>20000</v>
      </c>
      <c r="E17" s="7">
        <v>10000</v>
      </c>
      <c r="F17" s="7"/>
    </row>
    <row r="18" spans="1:9" x14ac:dyDescent="0.2">
      <c r="A18" t="s">
        <v>677</v>
      </c>
      <c r="B18" t="s">
        <v>473</v>
      </c>
      <c r="C18" s="7">
        <v>18000</v>
      </c>
      <c r="D18" s="7">
        <v>5000</v>
      </c>
      <c r="E18" s="7">
        <v>13000</v>
      </c>
      <c r="F18" s="7"/>
    </row>
    <row r="19" spans="1:9" x14ac:dyDescent="0.2">
      <c r="A19" t="s">
        <v>677</v>
      </c>
      <c r="B19" t="s">
        <v>907</v>
      </c>
      <c r="C19" s="7">
        <v>15000</v>
      </c>
      <c r="D19" s="7">
        <v>5000</v>
      </c>
      <c r="E19" s="7">
        <v>10000</v>
      </c>
      <c r="F19" s="7"/>
    </row>
    <row r="20" spans="1:9" x14ac:dyDescent="0.2">
      <c r="A20" t="s">
        <v>677</v>
      </c>
      <c r="B20" t="s">
        <v>908</v>
      </c>
      <c r="C20" s="7">
        <v>18000</v>
      </c>
      <c r="D20" s="7">
        <v>5000</v>
      </c>
      <c r="E20" s="7">
        <v>13000</v>
      </c>
      <c r="F20" s="7"/>
    </row>
    <row r="21" spans="1:9" x14ac:dyDescent="0.2">
      <c r="A21" t="s">
        <v>677</v>
      </c>
      <c r="B21" t="s">
        <v>2800</v>
      </c>
      <c r="C21" s="7">
        <v>18000</v>
      </c>
      <c r="D21" s="7">
        <v>5000</v>
      </c>
      <c r="E21" s="7">
        <v>13000</v>
      </c>
      <c r="F21" s="7"/>
    </row>
    <row r="22" spans="1:9" x14ac:dyDescent="0.2">
      <c r="A22" t="s">
        <v>3620</v>
      </c>
      <c r="B22" t="s">
        <v>3620</v>
      </c>
      <c r="C22" s="7">
        <v>1300</v>
      </c>
      <c r="D22" s="7">
        <v>0</v>
      </c>
      <c r="E22" s="7">
        <v>1300</v>
      </c>
      <c r="F22" s="7"/>
    </row>
    <row r="23" spans="1:9" x14ac:dyDescent="0.2">
      <c r="A23" t="s">
        <v>21</v>
      </c>
      <c r="B23" t="s">
        <v>1522</v>
      </c>
      <c r="C23" s="7">
        <v>10000</v>
      </c>
      <c r="D23" s="7">
        <v>2800</v>
      </c>
      <c r="E23" s="7">
        <v>7200</v>
      </c>
      <c r="F23" s="7"/>
    </row>
    <row r="24" spans="1:9" x14ac:dyDescent="0.2">
      <c r="A24" t="s">
        <v>21</v>
      </c>
      <c r="B24" t="s">
        <v>2856</v>
      </c>
      <c r="C24" s="7">
        <v>11000</v>
      </c>
      <c r="D24" s="7">
        <v>3000</v>
      </c>
      <c r="E24" s="7">
        <v>8000</v>
      </c>
      <c r="F24" s="7"/>
    </row>
    <row r="25" spans="1:9" x14ac:dyDescent="0.2">
      <c r="A25" t="s">
        <v>386</v>
      </c>
      <c r="B25" t="s">
        <v>3386</v>
      </c>
      <c r="C25" s="7">
        <v>115000</v>
      </c>
      <c r="D25" s="7">
        <v>55000</v>
      </c>
      <c r="E25" s="7">
        <v>60000</v>
      </c>
    </row>
    <row r="26" spans="1:9" x14ac:dyDescent="0.2">
      <c r="A26" t="s">
        <v>48</v>
      </c>
      <c r="B26" t="s">
        <v>3568</v>
      </c>
      <c r="C26" s="7">
        <v>165000</v>
      </c>
      <c r="D26" s="7">
        <v>110000</v>
      </c>
      <c r="E26" s="7">
        <v>55000</v>
      </c>
    </row>
    <row r="27" spans="1:9" x14ac:dyDescent="0.2">
      <c r="A27" t="s">
        <v>848</v>
      </c>
      <c r="B27" t="s">
        <v>853</v>
      </c>
      <c r="C27" s="7">
        <v>4000</v>
      </c>
      <c r="D27" s="7">
        <v>1000</v>
      </c>
      <c r="E27" s="7">
        <v>3000</v>
      </c>
    </row>
    <row r="28" spans="1:9" x14ac:dyDescent="0.2">
      <c r="A28" t="s">
        <v>3470</v>
      </c>
      <c r="B28" t="s">
        <v>3470</v>
      </c>
      <c r="C28" s="7">
        <v>14000</v>
      </c>
      <c r="D28" s="7">
        <v>6000</v>
      </c>
      <c r="E28" s="7">
        <v>8000</v>
      </c>
    </row>
    <row r="29" spans="1:9" x14ac:dyDescent="0.2">
      <c r="A29" t="s">
        <v>476</v>
      </c>
      <c r="B29" t="s">
        <v>3383</v>
      </c>
      <c r="C29" s="7">
        <v>5000</v>
      </c>
      <c r="D29" s="7">
        <v>1800</v>
      </c>
      <c r="E29" s="7">
        <v>3200</v>
      </c>
      <c r="I29">
        <v>180000</v>
      </c>
    </row>
    <row r="30" spans="1:9" x14ac:dyDescent="0.2">
      <c r="A30" t="s">
        <v>116</v>
      </c>
      <c r="B30" t="s">
        <v>514</v>
      </c>
      <c r="C30" s="7">
        <v>11000</v>
      </c>
      <c r="D30" s="7">
        <v>10278</v>
      </c>
      <c r="E30" s="7">
        <v>722</v>
      </c>
      <c r="I30">
        <v>25000</v>
      </c>
    </row>
    <row r="31" spans="1:9" x14ac:dyDescent="0.2">
      <c r="A31" t="s">
        <v>116</v>
      </c>
      <c r="B31" t="s">
        <v>515</v>
      </c>
      <c r="C31" s="7">
        <v>10500</v>
      </c>
      <c r="D31" s="7">
        <v>9810</v>
      </c>
      <c r="E31" s="7">
        <v>690</v>
      </c>
      <c r="I31">
        <v>210000</v>
      </c>
    </row>
    <row r="32" spans="1:9" x14ac:dyDescent="0.2">
      <c r="A32" t="s">
        <v>116</v>
      </c>
      <c r="B32" t="s">
        <v>518</v>
      </c>
      <c r="C32" s="7">
        <v>43500</v>
      </c>
      <c r="D32" s="7">
        <v>40649</v>
      </c>
      <c r="E32" s="7">
        <v>2851</v>
      </c>
      <c r="I32">
        <v>24000</v>
      </c>
    </row>
    <row r="33" spans="1:11" x14ac:dyDescent="0.2">
      <c r="A33" t="s">
        <v>116</v>
      </c>
      <c r="B33" t="s">
        <v>565</v>
      </c>
      <c r="C33" s="7">
        <v>6000</v>
      </c>
      <c r="D33" s="7">
        <v>5606</v>
      </c>
      <c r="E33" s="7">
        <v>394</v>
      </c>
      <c r="I33">
        <v>39000</v>
      </c>
    </row>
    <row r="34" spans="1:11" x14ac:dyDescent="0.2">
      <c r="A34" t="s">
        <v>2670</v>
      </c>
      <c r="B34" t="s">
        <v>3468</v>
      </c>
      <c r="C34" s="7">
        <v>55000</v>
      </c>
      <c r="D34" s="7">
        <v>20000</v>
      </c>
      <c r="E34" s="7">
        <v>35000</v>
      </c>
      <c r="F34" s="65"/>
      <c r="I34">
        <v>50000</v>
      </c>
    </row>
    <row r="35" spans="1:11" x14ac:dyDescent="0.2">
      <c r="A35" t="s">
        <v>458</v>
      </c>
      <c r="B35" t="s">
        <v>3661</v>
      </c>
      <c r="C35" s="7">
        <v>50000</v>
      </c>
      <c r="D35" s="7">
        <v>0</v>
      </c>
      <c r="E35" s="7">
        <v>50000</v>
      </c>
    </row>
    <row r="36" spans="1:11" x14ac:dyDescent="0.2">
      <c r="A36" t="s">
        <v>458</v>
      </c>
      <c r="B36" t="s">
        <v>3662</v>
      </c>
      <c r="C36" s="7">
        <v>40000</v>
      </c>
      <c r="D36" s="7">
        <v>0</v>
      </c>
      <c r="E36" s="7">
        <v>40000</v>
      </c>
    </row>
    <row r="37" spans="1:11" x14ac:dyDescent="0.2">
      <c r="A37" t="s">
        <v>458</v>
      </c>
      <c r="B37" t="s">
        <v>3664</v>
      </c>
      <c r="C37" s="7">
        <v>2000</v>
      </c>
      <c r="D37" s="7">
        <v>0</v>
      </c>
      <c r="E37" s="7">
        <v>2000</v>
      </c>
    </row>
    <row r="38" spans="1:11" x14ac:dyDescent="0.2">
      <c r="A38" t="s">
        <v>458</v>
      </c>
      <c r="B38" t="s">
        <v>3665</v>
      </c>
      <c r="C38" s="7">
        <v>2000</v>
      </c>
      <c r="D38" s="7">
        <v>0</v>
      </c>
      <c r="E38" s="7">
        <v>2000</v>
      </c>
    </row>
    <row r="39" spans="1:11" x14ac:dyDescent="0.2">
      <c r="A39" t="s">
        <v>224</v>
      </c>
      <c r="B39" t="s">
        <v>255</v>
      </c>
      <c r="C39" s="7">
        <v>20000</v>
      </c>
      <c r="D39" s="7">
        <v>8000</v>
      </c>
      <c r="E39" s="7">
        <v>12000</v>
      </c>
    </row>
    <row r="40" spans="1:11" x14ac:dyDescent="0.2">
      <c r="A40" t="s">
        <v>224</v>
      </c>
      <c r="B40" t="s">
        <v>282</v>
      </c>
      <c r="C40" s="7">
        <v>20000</v>
      </c>
      <c r="D40" s="7">
        <v>8000</v>
      </c>
      <c r="E40" s="7">
        <v>12000</v>
      </c>
      <c r="I40" s="41" t="s">
        <v>3017</v>
      </c>
      <c r="J40" s="39">
        <v>24000</v>
      </c>
      <c r="K40" s="40">
        <f>J40</f>
        <v>24000</v>
      </c>
    </row>
    <row r="41" spans="1:11" x14ac:dyDescent="0.2">
      <c r="A41" t="s">
        <v>224</v>
      </c>
      <c r="B41" t="s">
        <v>473</v>
      </c>
      <c r="C41" s="7">
        <v>20000</v>
      </c>
      <c r="D41" s="7">
        <v>8000</v>
      </c>
      <c r="E41" s="7">
        <v>12000</v>
      </c>
      <c r="I41">
        <v>100000</v>
      </c>
      <c r="J41">
        <v>2</v>
      </c>
      <c r="K41" s="2">
        <f>I41*J41</f>
        <v>200000</v>
      </c>
    </row>
    <row r="42" spans="1:11" x14ac:dyDescent="0.2">
      <c r="A42" t="s">
        <v>224</v>
      </c>
      <c r="B42" t="s">
        <v>908</v>
      </c>
      <c r="C42" s="7">
        <v>20000</v>
      </c>
      <c r="D42" s="7">
        <v>8000</v>
      </c>
      <c r="E42" s="7">
        <v>12000</v>
      </c>
      <c r="I42">
        <v>50000</v>
      </c>
      <c r="J42">
        <v>21</v>
      </c>
      <c r="K42" s="2">
        <f t="shared" ref="K42:K52" si="1">I42*J42</f>
        <v>1050000</v>
      </c>
    </row>
    <row r="43" spans="1:11" x14ac:dyDescent="0.2">
      <c r="A43" t="s">
        <v>224</v>
      </c>
      <c r="B43" t="s">
        <v>2337</v>
      </c>
      <c r="C43" s="7">
        <v>24000</v>
      </c>
      <c r="D43" s="7">
        <v>12000</v>
      </c>
      <c r="E43" s="7">
        <v>12000</v>
      </c>
      <c r="I43">
        <v>20000</v>
      </c>
      <c r="J43">
        <v>6</v>
      </c>
      <c r="K43" s="2">
        <f t="shared" si="1"/>
        <v>120000</v>
      </c>
    </row>
    <row r="44" spans="1:11" x14ac:dyDescent="0.2">
      <c r="A44" t="s">
        <v>224</v>
      </c>
      <c r="B44" t="s">
        <v>3197</v>
      </c>
      <c r="C44" s="7">
        <v>24000</v>
      </c>
      <c r="D44" s="7">
        <v>10500</v>
      </c>
      <c r="E44" s="7">
        <v>13500</v>
      </c>
      <c r="I44">
        <v>10000</v>
      </c>
      <c r="J44">
        <v>5</v>
      </c>
      <c r="K44" s="2">
        <f t="shared" si="1"/>
        <v>50000</v>
      </c>
    </row>
    <row r="45" spans="1:11" x14ac:dyDescent="0.2">
      <c r="A45" t="s">
        <v>455</v>
      </c>
      <c r="B45" t="s">
        <v>509</v>
      </c>
      <c r="C45" s="7">
        <v>9000</v>
      </c>
      <c r="D45" s="7">
        <v>0</v>
      </c>
      <c r="E45" s="7">
        <v>9000</v>
      </c>
      <c r="I45">
        <v>5000</v>
      </c>
      <c r="J45">
        <v>8</v>
      </c>
      <c r="K45" s="2">
        <f t="shared" si="1"/>
        <v>40000</v>
      </c>
    </row>
    <row r="46" spans="1:11" x14ac:dyDescent="0.2">
      <c r="A46" t="s">
        <v>455</v>
      </c>
      <c r="B46" t="s">
        <v>601</v>
      </c>
      <c r="C46" s="7">
        <v>5000</v>
      </c>
      <c r="D46" s="7">
        <v>1000</v>
      </c>
      <c r="E46" s="7">
        <v>4000</v>
      </c>
      <c r="I46">
        <v>2000</v>
      </c>
      <c r="J46">
        <v>12</v>
      </c>
      <c r="K46" s="2">
        <f t="shared" si="1"/>
        <v>24000</v>
      </c>
    </row>
    <row r="47" spans="1:11" x14ac:dyDescent="0.2">
      <c r="A47" t="s">
        <v>2043</v>
      </c>
      <c r="B47" t="s">
        <v>2192</v>
      </c>
      <c r="C47" s="7">
        <v>140000</v>
      </c>
      <c r="D47" s="7">
        <v>140000</v>
      </c>
      <c r="E47" s="7">
        <v>0</v>
      </c>
      <c r="I47">
        <v>1000</v>
      </c>
      <c r="K47" s="2">
        <f t="shared" si="1"/>
        <v>0</v>
      </c>
    </row>
    <row r="48" spans="1:11" x14ac:dyDescent="0.2">
      <c r="A48" t="s">
        <v>42</v>
      </c>
      <c r="B48" t="s">
        <v>1027</v>
      </c>
      <c r="C48" s="7">
        <v>34000</v>
      </c>
      <c r="D48" s="7">
        <v>16000</v>
      </c>
      <c r="E48" s="7">
        <v>18000</v>
      </c>
      <c r="I48">
        <v>1000</v>
      </c>
      <c r="K48" s="2">
        <f t="shared" si="1"/>
        <v>0</v>
      </c>
    </row>
    <row r="49" spans="1:11" x14ac:dyDescent="0.2">
      <c r="A49" t="s">
        <v>225</v>
      </c>
      <c r="B49" t="s">
        <v>539</v>
      </c>
      <c r="C49" s="7">
        <v>10000</v>
      </c>
      <c r="D49" s="7">
        <v>1000</v>
      </c>
      <c r="E49" s="7">
        <v>9000</v>
      </c>
      <c r="I49">
        <v>500</v>
      </c>
      <c r="K49" s="2">
        <f t="shared" si="1"/>
        <v>0</v>
      </c>
    </row>
    <row r="50" spans="1:11" x14ac:dyDescent="0.2">
      <c r="A50" t="s">
        <v>245</v>
      </c>
      <c r="C50" s="7">
        <v>1507300</v>
      </c>
      <c r="D50" s="7">
        <v>846943</v>
      </c>
      <c r="E50" s="7">
        <v>660357</v>
      </c>
      <c r="I50">
        <v>200</v>
      </c>
      <c r="K50" s="2">
        <f t="shared" si="1"/>
        <v>0</v>
      </c>
    </row>
    <row r="51" spans="1:11" x14ac:dyDescent="0.2">
      <c r="I51">
        <v>100</v>
      </c>
      <c r="K51" s="2">
        <f t="shared" si="1"/>
        <v>0</v>
      </c>
    </row>
    <row r="52" spans="1:11" x14ac:dyDescent="0.2">
      <c r="I52" s="39">
        <v>103000</v>
      </c>
      <c r="J52" s="39"/>
      <c r="K52" s="40">
        <f t="shared" si="1"/>
        <v>0</v>
      </c>
    </row>
    <row r="53" spans="1:11" x14ac:dyDescent="0.2">
      <c r="K53" s="2">
        <f>SUM(K40:K52)</f>
        <v>1508000</v>
      </c>
    </row>
    <row r="54" spans="1:11" x14ac:dyDescent="0.2">
      <c r="K54" s="2">
        <f>GETPIVOTDATA("Ventas",$A$4)</f>
        <v>1507300</v>
      </c>
    </row>
    <row r="55" spans="1:11" x14ac:dyDescent="0.2">
      <c r="K55" s="2">
        <f>K53-K54</f>
        <v>700</v>
      </c>
    </row>
    <row r="56" spans="1:11" x14ac:dyDescent="0.2">
      <c r="J56" t="s">
        <v>2367</v>
      </c>
    </row>
    <row r="57" spans="1:11" x14ac:dyDescent="0.2">
      <c r="J57" t="s">
        <v>2368</v>
      </c>
    </row>
    <row r="58" spans="1:11" ht="17" x14ac:dyDescent="0.2">
      <c r="J58" s="30" t="s">
        <v>2424</v>
      </c>
      <c r="K58" s="30"/>
    </row>
    <row r="62" spans="1:11" x14ac:dyDescent="0.2">
      <c r="J62" t="s">
        <v>2943</v>
      </c>
      <c r="K62">
        <v>908070</v>
      </c>
    </row>
    <row r="64" spans="1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22" sqref="E22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44929</v>
      </c>
      <c r="B5" s="8" t="s">
        <v>260</v>
      </c>
      <c r="C5" t="s">
        <v>308</v>
      </c>
      <c r="D5" s="7">
        <v>1</v>
      </c>
      <c r="E5" s="7">
        <v>65000</v>
      </c>
      <c r="F5" s="7">
        <v>130000</v>
      </c>
    </row>
    <row r="6" spans="1:6" x14ac:dyDescent="0.2">
      <c r="A6" s="1">
        <v>44929</v>
      </c>
      <c r="B6" s="8" t="s">
        <v>261</v>
      </c>
      <c r="C6" t="s">
        <v>308</v>
      </c>
      <c r="D6" s="7">
        <v>1</v>
      </c>
      <c r="E6" s="7">
        <v>63000</v>
      </c>
      <c r="F6" s="7">
        <v>125000</v>
      </c>
    </row>
    <row r="7" spans="1:6" x14ac:dyDescent="0.2">
      <c r="A7" s="1">
        <v>44981</v>
      </c>
      <c r="B7" s="8" t="s">
        <v>261</v>
      </c>
      <c r="C7" t="s">
        <v>308</v>
      </c>
      <c r="D7" s="7">
        <v>1</v>
      </c>
      <c r="E7" s="7">
        <v>68000</v>
      </c>
      <c r="F7" s="7">
        <v>130000</v>
      </c>
    </row>
    <row r="8" spans="1:6" x14ac:dyDescent="0.2">
      <c r="A8" s="1">
        <v>45066</v>
      </c>
      <c r="B8" s="8" t="s">
        <v>260</v>
      </c>
      <c r="C8" t="s">
        <v>308</v>
      </c>
      <c r="D8" s="7">
        <v>1</v>
      </c>
      <c r="E8" s="7">
        <v>68000</v>
      </c>
      <c r="F8" s="7">
        <v>125000</v>
      </c>
    </row>
    <row r="9" spans="1:6" x14ac:dyDescent="0.2">
      <c r="A9" s="1">
        <v>45067</v>
      </c>
      <c r="B9" s="8" t="s">
        <v>261</v>
      </c>
      <c r="C9" t="s">
        <v>308</v>
      </c>
      <c r="D9" s="7">
        <v>1</v>
      </c>
      <c r="E9" s="7">
        <v>65000</v>
      </c>
      <c r="F9" s="7">
        <v>125000</v>
      </c>
    </row>
    <row r="10" spans="1:6" x14ac:dyDescent="0.2">
      <c r="A10" s="1">
        <v>45107</v>
      </c>
      <c r="B10" s="8" t="s">
        <v>260</v>
      </c>
      <c r="C10" t="s">
        <v>308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45108</v>
      </c>
      <c r="B11" s="8" t="s">
        <v>261</v>
      </c>
      <c r="C11" t="s">
        <v>308</v>
      </c>
      <c r="D11" s="7">
        <v>1</v>
      </c>
      <c r="E11" s="7">
        <v>65000</v>
      </c>
      <c r="F11" s="7">
        <v>130000</v>
      </c>
    </row>
    <row r="12" spans="1:6" x14ac:dyDescent="0.2">
      <c r="A12" s="1" t="s">
        <v>245</v>
      </c>
      <c r="D12" s="7">
        <v>7</v>
      </c>
      <c r="E12" s="7">
        <v>65571.428571428565</v>
      </c>
      <c r="F12" s="7">
        <v>127142.85714285714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2023-07-02T12:07:09Z</dcterms:modified>
</cp:coreProperties>
</file>