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EF4E0371-3B07-4738-89F9-726C84388606}" xr6:coauthVersionLast="47" xr6:coauthVersionMax="47" xr10:uidLastSave="{00000000-0000-0000-0000-000000000000}"/>
  <bookViews>
    <workbookView xWindow="-38520" yWindow="-9495" windowWidth="38640" windowHeight="21120" xr2:uid="{7C6E27B9-8E9D-416F-8BDF-4BF08CC728FF}"/>
  </bookViews>
  <sheets>
    <sheet name="Scenario1" sheetId="1" r:id="rId1"/>
    <sheet name="Scenario2" sheetId="2" r:id="rId2"/>
    <sheet name="Scenar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J4" i="3"/>
  <c r="J5" i="3"/>
  <c r="J6" i="3"/>
  <c r="J7" i="3"/>
  <c r="J8" i="3"/>
  <c r="J9" i="3"/>
  <c r="J10" i="3"/>
  <c r="J11" i="3"/>
  <c r="J12" i="3"/>
  <c r="J13" i="3"/>
  <c r="D4" i="3"/>
  <c r="D5" i="3"/>
  <c r="D6" i="3"/>
  <c r="D7" i="3"/>
  <c r="D8" i="3"/>
  <c r="D9" i="3"/>
  <c r="D10" i="3"/>
  <c r="D11" i="3"/>
  <c r="D12" i="3"/>
  <c r="D13" i="3"/>
  <c r="A4" i="3"/>
  <c r="A5" i="3"/>
  <c r="B5" i="3" s="1"/>
  <c r="A6" i="3"/>
  <c r="A7" i="3"/>
  <c r="A8" i="3"/>
  <c r="A9" i="3"/>
  <c r="A10" i="3"/>
  <c r="A11" i="3"/>
  <c r="A12" i="3"/>
  <c r="A13" i="3"/>
  <c r="AE156" i="3"/>
  <c r="AE157" i="3"/>
  <c r="AE158" i="3"/>
  <c r="AE159" i="3"/>
  <c r="AE160" i="3"/>
  <c r="AE161" i="3"/>
  <c r="AE162" i="3"/>
  <c r="AE163" i="3"/>
  <c r="AE164" i="3"/>
  <c r="AE165" i="3"/>
  <c r="AF165" i="3" s="1"/>
  <c r="AB156" i="3"/>
  <c r="AB157" i="3"/>
  <c r="AB158" i="3"/>
  <c r="AB159" i="3"/>
  <c r="AC159" i="3" s="1"/>
  <c r="AB160" i="3"/>
  <c r="AB161" i="3"/>
  <c r="AB162" i="3"/>
  <c r="AB163" i="3"/>
  <c r="AB164" i="3"/>
  <c r="AB165" i="3"/>
  <c r="Y156" i="3"/>
  <c r="Y157" i="3"/>
  <c r="Y158" i="3"/>
  <c r="Y159" i="3"/>
  <c r="Y160" i="3"/>
  <c r="Z160" i="3" s="1"/>
  <c r="Y161" i="3"/>
  <c r="Y162" i="3"/>
  <c r="Y163" i="3"/>
  <c r="Y164" i="3"/>
  <c r="Y165" i="3"/>
  <c r="V156" i="3"/>
  <c r="W156" i="3" s="1"/>
  <c r="V157" i="3"/>
  <c r="V158" i="3"/>
  <c r="V159" i="3"/>
  <c r="W159" i="3" s="1"/>
  <c r="V160" i="3"/>
  <c r="V161" i="3"/>
  <c r="V162" i="3"/>
  <c r="V163" i="3"/>
  <c r="V164" i="3"/>
  <c r="V165" i="3"/>
  <c r="S156" i="3"/>
  <c r="S157" i="3"/>
  <c r="S158" i="3"/>
  <c r="S159" i="3"/>
  <c r="T159" i="3" s="1"/>
  <c r="S160" i="3"/>
  <c r="S161" i="3"/>
  <c r="S162" i="3"/>
  <c r="S163" i="3"/>
  <c r="S164" i="3"/>
  <c r="S165" i="3"/>
  <c r="AE141" i="3"/>
  <c r="AE142" i="3"/>
  <c r="AE143" i="3"/>
  <c r="AE144" i="3"/>
  <c r="AE145" i="3"/>
  <c r="AE146" i="3"/>
  <c r="AE147" i="3"/>
  <c r="AE148" i="3"/>
  <c r="AE149" i="3"/>
  <c r="AE150" i="3"/>
  <c r="AB141" i="3"/>
  <c r="AB142" i="3"/>
  <c r="AB143" i="3"/>
  <c r="AB144" i="3"/>
  <c r="AB145" i="3"/>
  <c r="AB146" i="3"/>
  <c r="AB147" i="3"/>
  <c r="AB148" i="3"/>
  <c r="AB149" i="3"/>
  <c r="AB150" i="3"/>
  <c r="Y141" i="3"/>
  <c r="Y142" i="3"/>
  <c r="Y143" i="3"/>
  <c r="Z143" i="3" s="1"/>
  <c r="Y144" i="3"/>
  <c r="Z144" i="3" s="1"/>
  <c r="Y145" i="3"/>
  <c r="Z145" i="3" s="1"/>
  <c r="Y146" i="3"/>
  <c r="Y147" i="3"/>
  <c r="Y148" i="3"/>
  <c r="Y149" i="3"/>
  <c r="Y150" i="3"/>
  <c r="Z150" i="3" s="1"/>
  <c r="V141" i="3"/>
  <c r="V142" i="3"/>
  <c r="V143" i="3"/>
  <c r="V144" i="3"/>
  <c r="V145" i="3"/>
  <c r="V146" i="3"/>
  <c r="V147" i="3"/>
  <c r="V148" i="3"/>
  <c r="V149" i="3"/>
  <c r="V150" i="3"/>
  <c r="S141" i="3"/>
  <c r="S142" i="3"/>
  <c r="S143" i="3"/>
  <c r="S144" i="3"/>
  <c r="S145" i="3"/>
  <c r="S146" i="3"/>
  <c r="S147" i="3"/>
  <c r="S148" i="3"/>
  <c r="S149" i="3"/>
  <c r="S150" i="3"/>
  <c r="AE126" i="3"/>
  <c r="AE127" i="3"/>
  <c r="AE128" i="3"/>
  <c r="AE129" i="3"/>
  <c r="AF129" i="3" s="1"/>
  <c r="AE130" i="3"/>
  <c r="AE131" i="3"/>
  <c r="AE132" i="3"/>
  <c r="AE133" i="3"/>
  <c r="AE134" i="3"/>
  <c r="AE135" i="3"/>
  <c r="AB126" i="3"/>
  <c r="AB127" i="3"/>
  <c r="AC127" i="3" s="1"/>
  <c r="AB128" i="3"/>
  <c r="AB129" i="3"/>
  <c r="AC129" i="3" s="1"/>
  <c r="AB130" i="3"/>
  <c r="AB131" i="3"/>
  <c r="AB132" i="3"/>
  <c r="AB133" i="3"/>
  <c r="AB134" i="3"/>
  <c r="AC134" i="3" s="1"/>
  <c r="AB135" i="3"/>
  <c r="AC135" i="3" s="1"/>
  <c r="Y126" i="3"/>
  <c r="Y127" i="3"/>
  <c r="Y128" i="3"/>
  <c r="Y129" i="3"/>
  <c r="Y130" i="3"/>
  <c r="Y131" i="3"/>
  <c r="Y132" i="3"/>
  <c r="Y133" i="3"/>
  <c r="Y134" i="3"/>
  <c r="Z134" i="3" s="1"/>
  <c r="Y135" i="3"/>
  <c r="V126" i="3"/>
  <c r="V127" i="3"/>
  <c r="V128" i="3"/>
  <c r="V129" i="3"/>
  <c r="V130" i="3"/>
  <c r="V131" i="3"/>
  <c r="V132" i="3"/>
  <c r="V133" i="3"/>
  <c r="V134" i="3"/>
  <c r="V135" i="3"/>
  <c r="S126" i="3"/>
  <c r="S127" i="3"/>
  <c r="S128" i="3"/>
  <c r="S129" i="3"/>
  <c r="S130" i="3"/>
  <c r="S131" i="3"/>
  <c r="S132" i="3"/>
  <c r="S133" i="3"/>
  <c r="S134" i="3"/>
  <c r="S135" i="3"/>
  <c r="AE111" i="3"/>
  <c r="AE112" i="3"/>
  <c r="AE113" i="3"/>
  <c r="AE114" i="3"/>
  <c r="AF114" i="3" s="1"/>
  <c r="AE115" i="3"/>
  <c r="AE116" i="3"/>
  <c r="AE117" i="3"/>
  <c r="AE118" i="3"/>
  <c r="AE119" i="3"/>
  <c r="AE120" i="3"/>
  <c r="AB111" i="3"/>
  <c r="AB112" i="3"/>
  <c r="AB113" i="3"/>
  <c r="AB114" i="3"/>
  <c r="AC114" i="3" s="1"/>
  <c r="AB115" i="3"/>
  <c r="AB116" i="3"/>
  <c r="AC116" i="3" s="1"/>
  <c r="AB117" i="3"/>
  <c r="AC117" i="3" s="1"/>
  <c r="AB118" i="3"/>
  <c r="AB119" i="3"/>
  <c r="AC119" i="3" s="1"/>
  <c r="AB120" i="3"/>
  <c r="Y111" i="3"/>
  <c r="Y112" i="3"/>
  <c r="Y113" i="3"/>
  <c r="Y114" i="3"/>
  <c r="Y115" i="3"/>
  <c r="Y116" i="3"/>
  <c r="Y117" i="3"/>
  <c r="Y118" i="3"/>
  <c r="Y119" i="3"/>
  <c r="Y120" i="3"/>
  <c r="V111" i="3"/>
  <c r="V112" i="3"/>
  <c r="V113" i="3"/>
  <c r="V114" i="3"/>
  <c r="V115" i="3"/>
  <c r="W115" i="3" s="1"/>
  <c r="V116" i="3"/>
  <c r="V117" i="3"/>
  <c r="V118" i="3"/>
  <c r="V119" i="3"/>
  <c r="V120" i="3"/>
  <c r="S111" i="3"/>
  <c r="S112" i="3"/>
  <c r="T112" i="3" s="1"/>
  <c r="S113" i="3"/>
  <c r="T113" i="3" s="1"/>
  <c r="S114" i="3"/>
  <c r="S115" i="3"/>
  <c r="S116" i="3"/>
  <c r="T116" i="3" s="1"/>
  <c r="S117" i="3"/>
  <c r="S118" i="3"/>
  <c r="S119" i="3"/>
  <c r="T119" i="3" s="1"/>
  <c r="S120" i="3"/>
  <c r="AE96" i="3"/>
  <c r="AE97" i="3"/>
  <c r="AE98" i="3"/>
  <c r="AE99" i="3"/>
  <c r="AE100" i="3"/>
  <c r="AF100" i="3" s="1"/>
  <c r="AE101" i="3"/>
  <c r="AE102" i="3"/>
  <c r="AE103" i="3"/>
  <c r="AE104" i="3"/>
  <c r="AE105" i="3"/>
  <c r="AB96" i="3"/>
  <c r="AB97" i="3"/>
  <c r="AC97" i="3" s="1"/>
  <c r="AB98" i="3"/>
  <c r="AC98" i="3" s="1"/>
  <c r="AB99" i="3"/>
  <c r="AB100" i="3"/>
  <c r="AB101" i="3"/>
  <c r="AB102" i="3"/>
  <c r="AB103" i="3"/>
  <c r="AB104" i="3"/>
  <c r="AB105" i="3"/>
  <c r="AC105" i="3" s="1"/>
  <c r="Y96" i="3"/>
  <c r="Y97" i="3"/>
  <c r="Y98" i="3"/>
  <c r="Y99" i="3"/>
  <c r="Y100" i="3"/>
  <c r="Y101" i="3"/>
  <c r="Y102" i="3"/>
  <c r="Y103" i="3"/>
  <c r="Y104" i="3"/>
  <c r="Y105" i="3"/>
  <c r="V96" i="3"/>
  <c r="V97" i="3"/>
  <c r="V98" i="3"/>
  <c r="V99" i="3"/>
  <c r="V100" i="3"/>
  <c r="W100" i="3" s="1"/>
  <c r="V101" i="3"/>
  <c r="V102" i="3"/>
  <c r="V103" i="3"/>
  <c r="V104" i="3"/>
  <c r="V105" i="3"/>
  <c r="S96" i="3"/>
  <c r="S97" i="3"/>
  <c r="S98" i="3"/>
  <c r="S99" i="3"/>
  <c r="S100" i="3"/>
  <c r="S101" i="3"/>
  <c r="S102" i="3"/>
  <c r="S103" i="3"/>
  <c r="S104" i="3"/>
  <c r="S105" i="3"/>
  <c r="AE81" i="3"/>
  <c r="AE82" i="3"/>
  <c r="AE83" i="3"/>
  <c r="AE84" i="3"/>
  <c r="AE85" i="3"/>
  <c r="AE86" i="3"/>
  <c r="AE87" i="3"/>
  <c r="AE88" i="3"/>
  <c r="AE89" i="3"/>
  <c r="AE90" i="3"/>
  <c r="AB81" i="3"/>
  <c r="AB82" i="3"/>
  <c r="AB83" i="3"/>
  <c r="AB84" i="3"/>
  <c r="AB85" i="3"/>
  <c r="AB86" i="3"/>
  <c r="AB87" i="3"/>
  <c r="AB88" i="3"/>
  <c r="AB89" i="3"/>
  <c r="AB90" i="3"/>
  <c r="Y81" i="3"/>
  <c r="Y82" i="3"/>
  <c r="Y83" i="3"/>
  <c r="Z83" i="3" s="1"/>
  <c r="Y84" i="3"/>
  <c r="Y85" i="3"/>
  <c r="Y86" i="3"/>
  <c r="Y87" i="3"/>
  <c r="Y88" i="3"/>
  <c r="Y89" i="3"/>
  <c r="Y90" i="3"/>
  <c r="V81" i="3"/>
  <c r="V82" i="3"/>
  <c r="V83" i="3"/>
  <c r="V84" i="3"/>
  <c r="V85" i="3"/>
  <c r="V86" i="3"/>
  <c r="V87" i="3"/>
  <c r="V88" i="3"/>
  <c r="V89" i="3"/>
  <c r="V90" i="3"/>
  <c r="W90" i="3" s="1"/>
  <c r="S81" i="3"/>
  <c r="S82" i="3"/>
  <c r="S83" i="3"/>
  <c r="S84" i="3"/>
  <c r="S85" i="3"/>
  <c r="S86" i="3"/>
  <c r="S87" i="3"/>
  <c r="S88" i="3"/>
  <c r="S89" i="3"/>
  <c r="S90" i="3"/>
  <c r="AE66" i="3"/>
  <c r="AE67" i="3"/>
  <c r="AE68" i="3"/>
  <c r="AE69" i="3"/>
  <c r="AE70" i="3"/>
  <c r="AE71" i="3"/>
  <c r="AE72" i="3"/>
  <c r="AE73" i="3"/>
  <c r="AE74" i="3"/>
  <c r="AE75" i="3"/>
  <c r="AB66" i="3"/>
  <c r="AC66" i="3" s="1"/>
  <c r="AB67" i="3"/>
  <c r="AB68" i="3"/>
  <c r="AB69" i="3"/>
  <c r="AB70" i="3"/>
  <c r="AC70" i="3" s="1"/>
  <c r="AB71" i="3"/>
  <c r="AC71" i="3" s="1"/>
  <c r="AB72" i="3"/>
  <c r="AB73" i="3"/>
  <c r="AB74" i="3"/>
  <c r="AB75" i="3"/>
  <c r="AC75" i="3" s="1"/>
  <c r="Y66" i="3"/>
  <c r="Y67" i="3"/>
  <c r="Y68" i="3"/>
  <c r="Y69" i="3"/>
  <c r="Y70" i="3"/>
  <c r="Y71" i="3"/>
  <c r="Y72" i="3"/>
  <c r="Y73" i="3"/>
  <c r="Y74" i="3"/>
  <c r="Y75" i="3"/>
  <c r="V66" i="3"/>
  <c r="V67" i="3"/>
  <c r="V68" i="3"/>
  <c r="V69" i="3"/>
  <c r="V70" i="3"/>
  <c r="V71" i="3"/>
  <c r="V72" i="3"/>
  <c r="V73" i="3"/>
  <c r="V74" i="3"/>
  <c r="V75" i="3"/>
  <c r="S66" i="3"/>
  <c r="S67" i="3"/>
  <c r="S68" i="3"/>
  <c r="T68" i="3" s="1"/>
  <c r="S69" i="3"/>
  <c r="S70" i="3"/>
  <c r="S71" i="3"/>
  <c r="T71" i="3" s="1"/>
  <c r="S72" i="3"/>
  <c r="S73" i="3"/>
  <c r="S74" i="3"/>
  <c r="S75" i="3"/>
  <c r="AE51" i="3"/>
  <c r="AE52" i="3"/>
  <c r="AE53" i="3"/>
  <c r="AE54" i="3"/>
  <c r="AE55" i="3"/>
  <c r="AE56" i="3"/>
  <c r="AE57" i="3"/>
  <c r="AE58" i="3"/>
  <c r="AE59" i="3"/>
  <c r="AE60" i="3"/>
  <c r="AB51" i="3"/>
  <c r="AB52" i="3"/>
  <c r="AB53" i="3"/>
  <c r="AB54" i="3"/>
  <c r="AB55" i="3"/>
  <c r="AB56" i="3"/>
  <c r="AB57" i="3"/>
  <c r="AB58" i="3"/>
  <c r="AB59" i="3"/>
  <c r="AB60" i="3"/>
  <c r="Y51" i="3"/>
  <c r="Y52" i="3"/>
  <c r="Y53" i="3"/>
  <c r="Y54" i="3"/>
  <c r="Y55" i="3"/>
  <c r="Z55" i="3" s="1"/>
  <c r="Y56" i="3"/>
  <c r="Y57" i="3"/>
  <c r="Y58" i="3"/>
  <c r="Y59" i="3"/>
  <c r="Y60" i="3"/>
  <c r="V51" i="3"/>
  <c r="V52" i="3"/>
  <c r="V53" i="3"/>
  <c r="V54" i="3"/>
  <c r="V55" i="3"/>
  <c r="V56" i="3"/>
  <c r="V57" i="3"/>
  <c r="V58" i="3"/>
  <c r="V59" i="3"/>
  <c r="V60" i="3"/>
  <c r="S51" i="3"/>
  <c r="S52" i="3"/>
  <c r="S53" i="3"/>
  <c r="S54" i="3"/>
  <c r="S55" i="3"/>
  <c r="S56" i="3"/>
  <c r="S57" i="3"/>
  <c r="S58" i="3"/>
  <c r="S59" i="3"/>
  <c r="S60" i="3"/>
  <c r="AE36" i="3"/>
  <c r="AF36" i="3" s="1"/>
  <c r="AE37" i="3"/>
  <c r="AE38" i="3"/>
  <c r="AE39" i="3"/>
  <c r="AF39" i="3" s="1"/>
  <c r="AE40" i="3"/>
  <c r="AE41" i="3"/>
  <c r="AF41" i="3" s="1"/>
  <c r="AE42" i="3"/>
  <c r="AE43" i="3"/>
  <c r="AE44" i="3"/>
  <c r="AE45" i="3"/>
  <c r="AB36" i="3"/>
  <c r="AC36" i="3" s="1"/>
  <c r="AC46" i="3" s="1"/>
  <c r="AB37" i="3"/>
  <c r="AB38" i="3"/>
  <c r="AB39" i="3"/>
  <c r="AB40" i="3"/>
  <c r="AB41" i="3"/>
  <c r="AB42" i="3"/>
  <c r="AB43" i="3"/>
  <c r="AB44" i="3"/>
  <c r="AB45" i="3"/>
  <c r="Y36" i="3"/>
  <c r="Y37" i="3"/>
  <c r="Y38" i="3"/>
  <c r="Y39" i="3"/>
  <c r="Z39" i="3" s="1"/>
  <c r="Y40" i="3"/>
  <c r="Y41" i="3"/>
  <c r="Y42" i="3"/>
  <c r="Y43" i="3"/>
  <c r="Y44" i="3"/>
  <c r="Y45" i="3"/>
  <c r="V36" i="3"/>
  <c r="V37" i="3"/>
  <c r="V38" i="3"/>
  <c r="V39" i="3"/>
  <c r="V40" i="3"/>
  <c r="V41" i="3"/>
  <c r="V42" i="3"/>
  <c r="V43" i="3"/>
  <c r="V44" i="3"/>
  <c r="V45" i="3"/>
  <c r="S36" i="3"/>
  <c r="S37" i="3"/>
  <c r="S38" i="3"/>
  <c r="S39" i="3"/>
  <c r="S40" i="3"/>
  <c r="S41" i="3"/>
  <c r="S42" i="3"/>
  <c r="S43" i="3"/>
  <c r="S44" i="3"/>
  <c r="S45" i="3"/>
  <c r="AE21" i="3"/>
  <c r="AE22" i="3"/>
  <c r="AE23" i="3"/>
  <c r="AE24" i="3"/>
  <c r="AF24" i="3" s="1"/>
  <c r="AE25" i="3"/>
  <c r="AE26" i="3"/>
  <c r="AF26" i="3" s="1"/>
  <c r="AE27" i="3"/>
  <c r="AE28" i="3"/>
  <c r="AE29" i="3"/>
  <c r="AE30" i="3"/>
  <c r="AB21" i="3"/>
  <c r="AB22" i="3"/>
  <c r="AB23" i="3"/>
  <c r="AB24" i="3"/>
  <c r="AB25" i="3"/>
  <c r="AB26" i="3"/>
  <c r="AB27" i="3"/>
  <c r="AB28" i="3"/>
  <c r="AB29" i="3"/>
  <c r="AB30" i="3"/>
  <c r="Y21" i="3"/>
  <c r="Y22" i="3"/>
  <c r="Y23" i="3"/>
  <c r="Y24" i="3"/>
  <c r="Y25" i="3"/>
  <c r="Y26" i="3"/>
  <c r="Y27" i="3"/>
  <c r="Y28" i="3"/>
  <c r="Y29" i="3"/>
  <c r="Y30" i="3"/>
  <c r="V21" i="3"/>
  <c r="V22" i="3"/>
  <c r="W22" i="3" s="1"/>
  <c r="V23" i="3"/>
  <c r="V24" i="3"/>
  <c r="V25" i="3"/>
  <c r="W25" i="3" s="1"/>
  <c r="V26" i="3"/>
  <c r="V27" i="3"/>
  <c r="V28" i="3"/>
  <c r="V29" i="3"/>
  <c r="V30" i="3"/>
  <c r="W30" i="3" s="1"/>
  <c r="S21" i="3"/>
  <c r="S22" i="3"/>
  <c r="S23" i="3"/>
  <c r="S24" i="3"/>
  <c r="T24" i="3" s="1"/>
  <c r="S25" i="3"/>
  <c r="T25" i="3" s="1"/>
  <c r="S26" i="3"/>
  <c r="S27" i="3"/>
  <c r="S28" i="3"/>
  <c r="S29" i="3"/>
  <c r="S30" i="3"/>
  <c r="M156" i="3"/>
  <c r="M157" i="3"/>
  <c r="M158" i="3"/>
  <c r="M159" i="3"/>
  <c r="N159" i="3" s="1"/>
  <c r="M160" i="3"/>
  <c r="M161" i="3"/>
  <c r="M162" i="3"/>
  <c r="M163" i="3"/>
  <c r="M164" i="3"/>
  <c r="N164" i="3" s="1"/>
  <c r="M165" i="3"/>
  <c r="J156" i="3"/>
  <c r="J157" i="3"/>
  <c r="J158" i="3"/>
  <c r="J159" i="3"/>
  <c r="J160" i="3"/>
  <c r="J161" i="3"/>
  <c r="K161" i="3" s="1"/>
  <c r="J162" i="3"/>
  <c r="J163" i="3"/>
  <c r="J164" i="3"/>
  <c r="J165" i="3"/>
  <c r="G156" i="3"/>
  <c r="G157" i="3"/>
  <c r="H157" i="3" s="1"/>
  <c r="G158" i="3"/>
  <c r="G159" i="3"/>
  <c r="G160" i="3"/>
  <c r="H160" i="3" s="1"/>
  <c r="G161" i="3"/>
  <c r="H161" i="3" s="1"/>
  <c r="G162" i="3"/>
  <c r="G163" i="3"/>
  <c r="G164" i="3"/>
  <c r="G165" i="3"/>
  <c r="H165" i="3" s="1"/>
  <c r="D156" i="3"/>
  <c r="D157" i="3"/>
  <c r="D158" i="3"/>
  <c r="E158" i="3" s="1"/>
  <c r="D159" i="3"/>
  <c r="D160" i="3"/>
  <c r="D161" i="3"/>
  <c r="D162" i="3"/>
  <c r="D163" i="3"/>
  <c r="E163" i="3" s="1"/>
  <c r="D164" i="3"/>
  <c r="D165" i="3"/>
  <c r="A156" i="3"/>
  <c r="A157" i="3"/>
  <c r="A158" i="3"/>
  <c r="B158" i="3" s="1"/>
  <c r="A159" i="3"/>
  <c r="A160" i="3"/>
  <c r="B160" i="3" s="1"/>
  <c r="A161" i="3"/>
  <c r="A162" i="3"/>
  <c r="A163" i="3"/>
  <c r="A164" i="3"/>
  <c r="A165" i="3"/>
  <c r="M141" i="3"/>
  <c r="M142" i="3"/>
  <c r="M143" i="3"/>
  <c r="M144" i="3"/>
  <c r="M145" i="3"/>
  <c r="M146" i="3"/>
  <c r="M147" i="3"/>
  <c r="M148" i="3"/>
  <c r="M149" i="3"/>
  <c r="M150" i="3"/>
  <c r="N150" i="3" s="1"/>
  <c r="J141" i="3"/>
  <c r="J142" i="3"/>
  <c r="J143" i="3"/>
  <c r="J144" i="3"/>
  <c r="J145" i="3"/>
  <c r="J146" i="3"/>
  <c r="J147" i="3"/>
  <c r="J148" i="3"/>
  <c r="J149" i="3"/>
  <c r="J150" i="3"/>
  <c r="K150" i="3" s="1"/>
  <c r="G141" i="3"/>
  <c r="G142" i="3"/>
  <c r="G143" i="3"/>
  <c r="H143" i="3" s="1"/>
  <c r="G144" i="3"/>
  <c r="G145" i="3"/>
  <c r="G146" i="3"/>
  <c r="G147" i="3"/>
  <c r="G148" i="3"/>
  <c r="G149" i="3"/>
  <c r="G150" i="3"/>
  <c r="D141" i="3"/>
  <c r="D142" i="3"/>
  <c r="D143" i="3"/>
  <c r="D144" i="3"/>
  <c r="D145" i="3"/>
  <c r="D146" i="3"/>
  <c r="D147" i="3"/>
  <c r="D148" i="3"/>
  <c r="D149" i="3"/>
  <c r="D150" i="3"/>
  <c r="E150" i="3" s="1"/>
  <c r="A141" i="3"/>
  <c r="A142" i="3"/>
  <c r="B142" i="3" s="1"/>
  <c r="A143" i="3"/>
  <c r="A144" i="3"/>
  <c r="A145" i="3"/>
  <c r="B145" i="3" s="1"/>
  <c r="A146" i="3"/>
  <c r="B146" i="3" s="1"/>
  <c r="A147" i="3"/>
  <c r="A148" i="3"/>
  <c r="A149" i="3"/>
  <c r="A150" i="3"/>
  <c r="M126" i="3"/>
  <c r="M127" i="3"/>
  <c r="M128" i="3"/>
  <c r="N128" i="3" s="1"/>
  <c r="M129" i="3"/>
  <c r="M130" i="3"/>
  <c r="M131" i="3"/>
  <c r="M132" i="3"/>
  <c r="M133" i="3"/>
  <c r="N133" i="3" s="1"/>
  <c r="M134" i="3"/>
  <c r="M135" i="3"/>
  <c r="J126" i="3"/>
  <c r="J127" i="3"/>
  <c r="J128" i="3"/>
  <c r="J129" i="3"/>
  <c r="J130" i="3"/>
  <c r="K130" i="3" s="1"/>
  <c r="J131" i="3"/>
  <c r="J132" i="3"/>
  <c r="J133" i="3"/>
  <c r="J134" i="3"/>
  <c r="J135" i="3"/>
  <c r="G126" i="3"/>
  <c r="G127" i="3"/>
  <c r="G128" i="3"/>
  <c r="G129" i="3"/>
  <c r="G130" i="3"/>
  <c r="G131" i="3"/>
  <c r="G132" i="3"/>
  <c r="G133" i="3"/>
  <c r="G134" i="3"/>
  <c r="G135" i="3"/>
  <c r="D126" i="3"/>
  <c r="D127" i="3"/>
  <c r="E127" i="3" s="1"/>
  <c r="D128" i="3"/>
  <c r="D129" i="3"/>
  <c r="D130" i="3"/>
  <c r="D131" i="3"/>
  <c r="D132" i="3"/>
  <c r="D133" i="3"/>
  <c r="D134" i="3"/>
  <c r="D135" i="3"/>
  <c r="A126" i="3"/>
  <c r="B126" i="3" s="1"/>
  <c r="A127" i="3"/>
  <c r="A128" i="3"/>
  <c r="B128" i="3" s="1"/>
  <c r="A129" i="3"/>
  <c r="A130" i="3"/>
  <c r="B130" i="3" s="1"/>
  <c r="A131" i="3"/>
  <c r="A132" i="3"/>
  <c r="A133" i="3"/>
  <c r="A134" i="3"/>
  <c r="B134" i="3" s="1"/>
  <c r="A135" i="3"/>
  <c r="B135" i="3" s="1"/>
  <c r="M111" i="3"/>
  <c r="N111" i="3" s="1"/>
  <c r="M112" i="3"/>
  <c r="N112" i="3" s="1"/>
  <c r="M113" i="3"/>
  <c r="M114" i="3"/>
  <c r="M115" i="3"/>
  <c r="N115" i="3" s="1"/>
  <c r="M116" i="3"/>
  <c r="M117" i="3"/>
  <c r="M118" i="3"/>
  <c r="M119" i="3"/>
  <c r="N119" i="3" s="1"/>
  <c r="M120" i="3"/>
  <c r="N120" i="3" s="1"/>
  <c r="J111" i="3"/>
  <c r="J112" i="3"/>
  <c r="J113" i="3"/>
  <c r="J114" i="3"/>
  <c r="K114" i="3" s="1"/>
  <c r="J115" i="3"/>
  <c r="J116" i="3"/>
  <c r="J117" i="3"/>
  <c r="J118" i="3"/>
  <c r="J119" i="3"/>
  <c r="J120" i="3"/>
  <c r="G111" i="3"/>
  <c r="H111" i="3" s="1"/>
  <c r="G112" i="3"/>
  <c r="G113" i="3"/>
  <c r="G114" i="3"/>
  <c r="H114" i="3" s="1"/>
  <c r="G115" i="3"/>
  <c r="G116" i="3"/>
  <c r="G117" i="3"/>
  <c r="G118" i="3"/>
  <c r="H118" i="3" s="1"/>
  <c r="G119" i="3"/>
  <c r="H119" i="3" s="1"/>
  <c r="G120" i="3"/>
  <c r="D111" i="3"/>
  <c r="D112" i="3"/>
  <c r="D113" i="3"/>
  <c r="D114" i="3"/>
  <c r="D115" i="3"/>
  <c r="D116" i="3"/>
  <c r="D117" i="3"/>
  <c r="D118" i="3"/>
  <c r="D119" i="3"/>
  <c r="D120" i="3"/>
  <c r="A111" i="3"/>
  <c r="A112" i="3"/>
  <c r="B112" i="3" s="1"/>
  <c r="A113" i="3"/>
  <c r="A114" i="3"/>
  <c r="B114" i="3" s="1"/>
  <c r="A115" i="3"/>
  <c r="A116" i="3"/>
  <c r="A117" i="3"/>
  <c r="A118" i="3"/>
  <c r="A119" i="3"/>
  <c r="A120" i="3"/>
  <c r="M96" i="3"/>
  <c r="M97" i="3"/>
  <c r="N97" i="3" s="1"/>
  <c r="M98" i="3"/>
  <c r="N98" i="3" s="1"/>
  <c r="M99" i="3"/>
  <c r="M100" i="3"/>
  <c r="M101" i="3"/>
  <c r="N101" i="3" s="1"/>
  <c r="M102" i="3"/>
  <c r="M103" i="3"/>
  <c r="M104" i="3"/>
  <c r="M105" i="3"/>
  <c r="J96" i="3"/>
  <c r="J97" i="3"/>
  <c r="J98" i="3"/>
  <c r="J99" i="3"/>
  <c r="K99" i="3" s="1"/>
  <c r="J100" i="3"/>
  <c r="K100" i="3" s="1"/>
  <c r="J101" i="3"/>
  <c r="J102" i="3"/>
  <c r="J103" i="3"/>
  <c r="J104" i="3"/>
  <c r="J105" i="3"/>
  <c r="K105" i="3" s="1"/>
  <c r="G96" i="3"/>
  <c r="G97" i="3"/>
  <c r="H97" i="3" s="1"/>
  <c r="G98" i="3"/>
  <c r="G99" i="3"/>
  <c r="H99" i="3" s="1"/>
  <c r="G100" i="3"/>
  <c r="H100" i="3" s="1"/>
  <c r="G101" i="3"/>
  <c r="G102" i="3"/>
  <c r="G103" i="3"/>
  <c r="G104" i="3"/>
  <c r="H104" i="3" s="1"/>
  <c r="G105" i="3"/>
  <c r="D96" i="3"/>
  <c r="D97" i="3"/>
  <c r="D98" i="3"/>
  <c r="D99" i="3"/>
  <c r="D100" i="3"/>
  <c r="E100" i="3" s="1"/>
  <c r="D101" i="3"/>
  <c r="D102" i="3"/>
  <c r="D103" i="3"/>
  <c r="D104" i="3"/>
  <c r="D105" i="3"/>
  <c r="E105" i="3" s="1"/>
  <c r="A96" i="3"/>
  <c r="A97" i="3"/>
  <c r="A98" i="3"/>
  <c r="B98" i="3" s="1"/>
  <c r="A99" i="3"/>
  <c r="A100" i="3"/>
  <c r="A101" i="3"/>
  <c r="A102" i="3"/>
  <c r="A103" i="3"/>
  <c r="A104" i="3"/>
  <c r="B104" i="3" s="1"/>
  <c r="A105" i="3"/>
  <c r="M81" i="3"/>
  <c r="M82" i="3"/>
  <c r="M83" i="3"/>
  <c r="M84" i="3"/>
  <c r="M85" i="3"/>
  <c r="N85" i="3" s="1"/>
  <c r="M86" i="3"/>
  <c r="M87" i="3"/>
  <c r="M88" i="3"/>
  <c r="M89" i="3"/>
  <c r="M90" i="3"/>
  <c r="N90" i="3" s="1"/>
  <c r="J81" i="3"/>
  <c r="J82" i="3"/>
  <c r="J83" i="3"/>
  <c r="J84" i="3"/>
  <c r="J85" i="3"/>
  <c r="K85" i="3" s="1"/>
  <c r="J86" i="3"/>
  <c r="J87" i="3"/>
  <c r="J88" i="3"/>
  <c r="J89" i="3"/>
  <c r="J90" i="3"/>
  <c r="G81" i="3"/>
  <c r="G82" i="3"/>
  <c r="G83" i="3"/>
  <c r="G84" i="3"/>
  <c r="G85" i="3"/>
  <c r="G86" i="3"/>
  <c r="G87" i="3"/>
  <c r="G88" i="3"/>
  <c r="G89" i="3"/>
  <c r="G90" i="3"/>
  <c r="D81" i="3"/>
  <c r="D82" i="3"/>
  <c r="D83" i="3"/>
  <c r="E83" i="3" s="1"/>
  <c r="D84" i="3"/>
  <c r="E84" i="3" s="1"/>
  <c r="D85" i="3"/>
  <c r="D86" i="3"/>
  <c r="D87" i="3"/>
  <c r="D88" i="3"/>
  <c r="D89" i="3"/>
  <c r="D90" i="3"/>
  <c r="E90" i="3" s="1"/>
  <c r="A81" i="3"/>
  <c r="A82" i="3"/>
  <c r="B82" i="3" s="1"/>
  <c r="A83" i="3"/>
  <c r="A84" i="3"/>
  <c r="A85" i="3"/>
  <c r="A86" i="3"/>
  <c r="A87" i="3"/>
  <c r="B87" i="3" s="1"/>
  <c r="A88" i="3"/>
  <c r="A89" i="3"/>
  <c r="A90" i="3"/>
  <c r="M66" i="3"/>
  <c r="N66" i="3" s="1"/>
  <c r="M67" i="3"/>
  <c r="M68" i="3"/>
  <c r="M69" i="3"/>
  <c r="M70" i="3"/>
  <c r="M71" i="3"/>
  <c r="M72" i="3"/>
  <c r="M73" i="3"/>
  <c r="N73" i="3" s="1"/>
  <c r="M74" i="3"/>
  <c r="M75" i="3"/>
  <c r="J66" i="3"/>
  <c r="J67" i="3"/>
  <c r="J68" i="3"/>
  <c r="J69" i="3"/>
  <c r="J70" i="3"/>
  <c r="J71" i="3"/>
  <c r="J72" i="3"/>
  <c r="J73" i="3"/>
  <c r="J74" i="3"/>
  <c r="J75" i="3"/>
  <c r="G66" i="3"/>
  <c r="G67" i="3"/>
  <c r="G68" i="3"/>
  <c r="G69" i="3"/>
  <c r="G70" i="3"/>
  <c r="G71" i="3"/>
  <c r="G72" i="3"/>
  <c r="G73" i="3"/>
  <c r="G74" i="3"/>
  <c r="G75" i="3"/>
  <c r="D66" i="3"/>
  <c r="D67" i="3"/>
  <c r="D68" i="3"/>
  <c r="D69" i="3"/>
  <c r="D70" i="3"/>
  <c r="D71" i="3"/>
  <c r="D72" i="3"/>
  <c r="D73" i="3"/>
  <c r="D74" i="3"/>
  <c r="D75" i="3"/>
  <c r="A66" i="3"/>
  <c r="A67" i="3"/>
  <c r="A68" i="3"/>
  <c r="A69" i="3"/>
  <c r="A70" i="3"/>
  <c r="A71" i="3"/>
  <c r="A72" i="3"/>
  <c r="A73" i="3"/>
  <c r="A74" i="3"/>
  <c r="A75" i="3"/>
  <c r="M51" i="3"/>
  <c r="M52" i="3"/>
  <c r="M53" i="3"/>
  <c r="N53" i="3" s="1"/>
  <c r="M54" i="3"/>
  <c r="M55" i="3"/>
  <c r="M56" i="3"/>
  <c r="M57" i="3"/>
  <c r="M58" i="3"/>
  <c r="M59" i="3"/>
  <c r="M60" i="3"/>
  <c r="J51" i="3"/>
  <c r="J52" i="3"/>
  <c r="K52" i="3" s="1"/>
  <c r="J53" i="3"/>
  <c r="J54" i="3"/>
  <c r="J55" i="3"/>
  <c r="K55" i="3" s="1"/>
  <c r="J56" i="3"/>
  <c r="J57" i="3"/>
  <c r="J58" i="3"/>
  <c r="J59" i="3"/>
  <c r="J60" i="3"/>
  <c r="K60" i="3" s="1"/>
  <c r="G51" i="3"/>
  <c r="G52" i="3"/>
  <c r="H52" i="3" s="1"/>
  <c r="G53" i="3"/>
  <c r="H53" i="3" s="1"/>
  <c r="G54" i="3"/>
  <c r="G55" i="3"/>
  <c r="H55" i="3" s="1"/>
  <c r="G56" i="3"/>
  <c r="G57" i="3"/>
  <c r="G58" i="3"/>
  <c r="G59" i="3"/>
  <c r="G60" i="3"/>
  <c r="D51" i="3"/>
  <c r="D52" i="3"/>
  <c r="D53" i="3"/>
  <c r="D54" i="3"/>
  <c r="D55" i="3"/>
  <c r="D56" i="3"/>
  <c r="D57" i="3"/>
  <c r="D58" i="3"/>
  <c r="D59" i="3"/>
  <c r="D60" i="3"/>
  <c r="A51" i="3"/>
  <c r="A52" i="3"/>
  <c r="A53" i="3"/>
  <c r="A54" i="3"/>
  <c r="A55" i="3"/>
  <c r="A56" i="3"/>
  <c r="A57" i="3"/>
  <c r="A58" i="3"/>
  <c r="A59" i="3"/>
  <c r="A60" i="3"/>
  <c r="M36" i="3"/>
  <c r="M37" i="3"/>
  <c r="M38" i="3"/>
  <c r="M39" i="3"/>
  <c r="M40" i="3"/>
  <c r="M41" i="3"/>
  <c r="M42" i="3"/>
  <c r="M43" i="3"/>
  <c r="M44" i="3"/>
  <c r="M45" i="3"/>
  <c r="J36" i="3"/>
  <c r="J37" i="3"/>
  <c r="J38" i="3"/>
  <c r="J39" i="3"/>
  <c r="J40" i="3"/>
  <c r="J41" i="3"/>
  <c r="J42" i="3"/>
  <c r="J43" i="3"/>
  <c r="J44" i="3"/>
  <c r="J45" i="3"/>
  <c r="G36" i="3"/>
  <c r="G37" i="3"/>
  <c r="G38" i="3"/>
  <c r="G39" i="3"/>
  <c r="G40" i="3"/>
  <c r="G41" i="3"/>
  <c r="G42" i="3"/>
  <c r="G43" i="3"/>
  <c r="G44" i="3"/>
  <c r="G45" i="3"/>
  <c r="H45" i="3" s="1"/>
  <c r="D36" i="3"/>
  <c r="D37" i="3"/>
  <c r="D38" i="3"/>
  <c r="D39" i="3"/>
  <c r="D40" i="3"/>
  <c r="D41" i="3"/>
  <c r="D42" i="3"/>
  <c r="D43" i="3"/>
  <c r="D44" i="3"/>
  <c r="D45" i="3"/>
  <c r="A36" i="3"/>
  <c r="A37" i="3"/>
  <c r="A38" i="3"/>
  <c r="A39" i="3"/>
  <c r="A40" i="3"/>
  <c r="B40" i="3" s="1"/>
  <c r="A41" i="3"/>
  <c r="A42" i="3"/>
  <c r="A43" i="3"/>
  <c r="A44" i="3"/>
  <c r="A45" i="3"/>
  <c r="M21" i="3"/>
  <c r="M22" i="3"/>
  <c r="M23" i="3"/>
  <c r="M24" i="3"/>
  <c r="M25" i="3"/>
  <c r="M26" i="3"/>
  <c r="M27" i="3"/>
  <c r="M28" i="3"/>
  <c r="M29" i="3"/>
  <c r="M30" i="3"/>
  <c r="N30" i="3" s="1"/>
  <c r="J21" i="3"/>
  <c r="J22" i="3"/>
  <c r="J23" i="3"/>
  <c r="K23" i="3" s="1"/>
  <c r="J24" i="3"/>
  <c r="J25" i="3"/>
  <c r="K25" i="3" s="1"/>
  <c r="J26" i="3"/>
  <c r="J27" i="3"/>
  <c r="J28" i="3"/>
  <c r="J29" i="3"/>
  <c r="J30" i="3"/>
  <c r="K30" i="3" s="1"/>
  <c r="G21" i="3"/>
  <c r="G22" i="3"/>
  <c r="H22" i="3" s="1"/>
  <c r="G23" i="3"/>
  <c r="G24" i="3"/>
  <c r="G25" i="3"/>
  <c r="G26" i="3"/>
  <c r="G27" i="3"/>
  <c r="G28" i="3"/>
  <c r="G29" i="3"/>
  <c r="H29" i="3" s="1"/>
  <c r="G30" i="3"/>
  <c r="D21" i="3"/>
  <c r="E21" i="3" s="1"/>
  <c r="D22" i="3"/>
  <c r="D23" i="3"/>
  <c r="D24" i="3"/>
  <c r="D25" i="3"/>
  <c r="E25" i="3" s="1"/>
  <c r="D26" i="3"/>
  <c r="D27" i="3"/>
  <c r="D28" i="3"/>
  <c r="D29" i="3"/>
  <c r="D30" i="3"/>
  <c r="A21" i="3"/>
  <c r="A22" i="3"/>
  <c r="A23" i="3"/>
  <c r="A24" i="3"/>
  <c r="A25" i="3"/>
  <c r="A26" i="3"/>
  <c r="A27" i="3"/>
  <c r="A28" i="3"/>
  <c r="A29" i="3"/>
  <c r="A30" i="3"/>
  <c r="AC165" i="3"/>
  <c r="Z165" i="3"/>
  <c r="W165" i="3"/>
  <c r="T165" i="3"/>
  <c r="N165" i="3"/>
  <c r="K165" i="3"/>
  <c r="E165" i="3"/>
  <c r="B165" i="3"/>
  <c r="AF164" i="3"/>
  <c r="AC164" i="3"/>
  <c r="Z164" i="3"/>
  <c r="W164" i="3"/>
  <c r="T164" i="3"/>
  <c r="K164" i="3"/>
  <c r="H164" i="3"/>
  <c r="E164" i="3"/>
  <c r="B164" i="3"/>
  <c r="AF163" i="3"/>
  <c r="AC163" i="3"/>
  <c r="Z163" i="3"/>
  <c r="W163" i="3"/>
  <c r="T163" i="3"/>
  <c r="N163" i="3"/>
  <c r="K163" i="3"/>
  <c r="H163" i="3"/>
  <c r="B163" i="3"/>
  <c r="AF162" i="3"/>
  <c r="AC162" i="3"/>
  <c r="Z162" i="3"/>
  <c r="W162" i="3"/>
  <c r="T162" i="3"/>
  <c r="N162" i="3"/>
  <c r="K162" i="3"/>
  <c r="H162" i="3"/>
  <c r="E162" i="3"/>
  <c r="B162" i="3"/>
  <c r="AF161" i="3"/>
  <c r="AC161" i="3"/>
  <c r="Z161" i="3"/>
  <c r="W161" i="3"/>
  <c r="T161" i="3"/>
  <c r="N161" i="3"/>
  <c r="E161" i="3"/>
  <c r="B161" i="3"/>
  <c r="AF160" i="3"/>
  <c r="AC160" i="3"/>
  <c r="W160" i="3"/>
  <c r="T160" i="3"/>
  <c r="N160" i="3"/>
  <c r="K160" i="3"/>
  <c r="E160" i="3"/>
  <c r="AF159" i="3"/>
  <c r="Z159" i="3"/>
  <c r="K159" i="3"/>
  <c r="H159" i="3"/>
  <c r="E159" i="3"/>
  <c r="B159" i="3"/>
  <c r="AF158" i="3"/>
  <c r="AC158" i="3"/>
  <c r="Z158" i="3"/>
  <c r="W158" i="3"/>
  <c r="T158" i="3"/>
  <c r="N158" i="3"/>
  <c r="K158" i="3"/>
  <c r="H158" i="3"/>
  <c r="AF157" i="3"/>
  <c r="AC157" i="3"/>
  <c r="Z157" i="3"/>
  <c r="W157" i="3"/>
  <c r="T157" i="3"/>
  <c r="N157" i="3"/>
  <c r="K157" i="3"/>
  <c r="E157" i="3"/>
  <c r="B157" i="3"/>
  <c r="AF156" i="3"/>
  <c r="AC156" i="3"/>
  <c r="Z156" i="3"/>
  <c r="T156" i="3"/>
  <c r="N156" i="3"/>
  <c r="K156" i="3"/>
  <c r="H156" i="3"/>
  <c r="E156" i="3"/>
  <c r="B156" i="3"/>
  <c r="AF150" i="3"/>
  <c r="AC150" i="3"/>
  <c r="W150" i="3"/>
  <c r="T150" i="3"/>
  <c r="H150" i="3"/>
  <c r="B150" i="3"/>
  <c r="AF149" i="3"/>
  <c r="AC149" i="3"/>
  <c r="Z149" i="3"/>
  <c r="W149" i="3"/>
  <c r="T149" i="3"/>
  <c r="N149" i="3"/>
  <c r="K149" i="3"/>
  <c r="H149" i="3"/>
  <c r="E149" i="3"/>
  <c r="B149" i="3"/>
  <c r="AF148" i="3"/>
  <c r="AC148" i="3"/>
  <c r="Z148" i="3"/>
  <c r="W148" i="3"/>
  <c r="T148" i="3"/>
  <c r="N148" i="3"/>
  <c r="K148" i="3"/>
  <c r="H148" i="3"/>
  <c r="E148" i="3"/>
  <c r="B148" i="3"/>
  <c r="AF147" i="3"/>
  <c r="AC147" i="3"/>
  <c r="Z147" i="3"/>
  <c r="W147" i="3"/>
  <c r="T147" i="3"/>
  <c r="N147" i="3"/>
  <c r="K147" i="3"/>
  <c r="H147" i="3"/>
  <c r="E147" i="3"/>
  <c r="B147" i="3"/>
  <c r="AF146" i="3"/>
  <c r="AC146" i="3"/>
  <c r="Z146" i="3"/>
  <c r="W146" i="3"/>
  <c r="T146" i="3"/>
  <c r="N146" i="3"/>
  <c r="K146" i="3"/>
  <c r="H146" i="3"/>
  <c r="E146" i="3"/>
  <c r="AF145" i="3"/>
  <c r="AC145" i="3"/>
  <c r="W145" i="3"/>
  <c r="T145" i="3"/>
  <c r="N145" i="3"/>
  <c r="K145" i="3"/>
  <c r="H145" i="3"/>
  <c r="E145" i="3"/>
  <c r="AF144" i="3"/>
  <c r="AC144" i="3"/>
  <c r="W144" i="3"/>
  <c r="T144" i="3"/>
  <c r="N144" i="3"/>
  <c r="K144" i="3"/>
  <c r="H144" i="3"/>
  <c r="E144" i="3"/>
  <c r="B144" i="3"/>
  <c r="AF143" i="3"/>
  <c r="AC143" i="3"/>
  <c r="W143" i="3"/>
  <c r="T143" i="3"/>
  <c r="N143" i="3"/>
  <c r="K143" i="3"/>
  <c r="E143" i="3"/>
  <c r="B143" i="3"/>
  <c r="AF142" i="3"/>
  <c r="AC142" i="3"/>
  <c r="Z142" i="3"/>
  <c r="W142" i="3"/>
  <c r="T142" i="3"/>
  <c r="N142" i="3"/>
  <c r="K142" i="3"/>
  <c r="H142" i="3"/>
  <c r="E142" i="3"/>
  <c r="AF141" i="3"/>
  <c r="AC141" i="3"/>
  <c r="Z141" i="3"/>
  <c r="W141" i="3"/>
  <c r="T141" i="3"/>
  <c r="N141" i="3"/>
  <c r="K141" i="3"/>
  <c r="H141" i="3"/>
  <c r="E141" i="3"/>
  <c r="B141" i="3"/>
  <c r="AF135" i="3"/>
  <c r="Z135" i="3"/>
  <c r="W135" i="3"/>
  <c r="T135" i="3"/>
  <c r="N135" i="3"/>
  <c r="K135" i="3"/>
  <c r="H135" i="3"/>
  <c r="E135" i="3"/>
  <c r="AF134" i="3"/>
  <c r="W134" i="3"/>
  <c r="T134" i="3"/>
  <c r="N134" i="3"/>
  <c r="K134" i="3"/>
  <c r="H134" i="3"/>
  <c r="E134" i="3"/>
  <c r="AF133" i="3"/>
  <c r="AC133" i="3"/>
  <c r="Z133" i="3"/>
  <c r="W133" i="3"/>
  <c r="T133" i="3"/>
  <c r="K133" i="3"/>
  <c r="H133" i="3"/>
  <c r="E133" i="3"/>
  <c r="B133" i="3"/>
  <c r="AF132" i="3"/>
  <c r="AC132" i="3"/>
  <c r="Z132" i="3"/>
  <c r="W132" i="3"/>
  <c r="T132" i="3"/>
  <c r="N132" i="3"/>
  <c r="K132" i="3"/>
  <c r="H132" i="3"/>
  <c r="E132" i="3"/>
  <c r="B132" i="3"/>
  <c r="AF131" i="3"/>
  <c r="AC131" i="3"/>
  <c r="Z131" i="3"/>
  <c r="W131" i="3"/>
  <c r="T131" i="3"/>
  <c r="N131" i="3"/>
  <c r="K131" i="3"/>
  <c r="H131" i="3"/>
  <c r="E131" i="3"/>
  <c r="B131" i="3"/>
  <c r="AF130" i="3"/>
  <c r="AC130" i="3"/>
  <c r="Z130" i="3"/>
  <c r="W130" i="3"/>
  <c r="T130" i="3"/>
  <c r="N130" i="3"/>
  <c r="H130" i="3"/>
  <c r="E130" i="3"/>
  <c r="Z129" i="3"/>
  <c r="W129" i="3"/>
  <c r="T129" i="3"/>
  <c r="N129" i="3"/>
  <c r="K129" i="3"/>
  <c r="H129" i="3"/>
  <c r="E129" i="3"/>
  <c r="B129" i="3"/>
  <c r="AF128" i="3"/>
  <c r="AC128" i="3"/>
  <c r="Z128" i="3"/>
  <c r="W128" i="3"/>
  <c r="T128" i="3"/>
  <c r="K128" i="3"/>
  <c r="H128" i="3"/>
  <c r="E128" i="3"/>
  <c r="AF127" i="3"/>
  <c r="Z127" i="3"/>
  <c r="W127" i="3"/>
  <c r="T127" i="3"/>
  <c r="N127" i="3"/>
  <c r="K127" i="3"/>
  <c r="H127" i="3"/>
  <c r="B127" i="3"/>
  <c r="AF126" i="3"/>
  <c r="AC126" i="3"/>
  <c r="Z126" i="3"/>
  <c r="W126" i="3"/>
  <c r="T126" i="3"/>
  <c r="N126" i="3"/>
  <c r="K126" i="3"/>
  <c r="H126" i="3"/>
  <c r="E126" i="3"/>
  <c r="AF120" i="3"/>
  <c r="AC120" i="3"/>
  <c r="Z120" i="3"/>
  <c r="W120" i="3"/>
  <c r="T120" i="3"/>
  <c r="K120" i="3"/>
  <c r="H120" i="3"/>
  <c r="E120" i="3"/>
  <c r="B120" i="3"/>
  <c r="AF119" i="3"/>
  <c r="Z119" i="3"/>
  <c r="W119" i="3"/>
  <c r="K119" i="3"/>
  <c r="E119" i="3"/>
  <c r="B119" i="3"/>
  <c r="AF118" i="3"/>
  <c r="AC118" i="3"/>
  <c r="Z118" i="3"/>
  <c r="W118" i="3"/>
  <c r="T118" i="3"/>
  <c r="N118" i="3"/>
  <c r="K118" i="3"/>
  <c r="E118" i="3"/>
  <c r="B118" i="3"/>
  <c r="AF117" i="3"/>
  <c r="Z117" i="3"/>
  <c r="W117" i="3"/>
  <c r="T117" i="3"/>
  <c r="N117" i="3"/>
  <c r="K117" i="3"/>
  <c r="H117" i="3"/>
  <c r="E117" i="3"/>
  <c r="B117" i="3"/>
  <c r="AF116" i="3"/>
  <c r="Z116" i="3"/>
  <c r="W116" i="3"/>
  <c r="N116" i="3"/>
  <c r="K116" i="3"/>
  <c r="H116" i="3"/>
  <c r="E116" i="3"/>
  <c r="B116" i="3"/>
  <c r="AF115" i="3"/>
  <c r="AC115" i="3"/>
  <c r="Z115" i="3"/>
  <c r="T115" i="3"/>
  <c r="K115" i="3"/>
  <c r="H115" i="3"/>
  <c r="E115" i="3"/>
  <c r="B115" i="3"/>
  <c r="Z114" i="3"/>
  <c r="W114" i="3"/>
  <c r="T114" i="3"/>
  <c r="N114" i="3"/>
  <c r="E114" i="3"/>
  <c r="AF113" i="3"/>
  <c r="AC113" i="3"/>
  <c r="Z113" i="3"/>
  <c r="W113" i="3"/>
  <c r="N113" i="3"/>
  <c r="K113" i="3"/>
  <c r="H113" i="3"/>
  <c r="E113" i="3"/>
  <c r="B113" i="3"/>
  <c r="AF112" i="3"/>
  <c r="AC112" i="3"/>
  <c r="Z112" i="3"/>
  <c r="W112" i="3"/>
  <c r="K112" i="3"/>
  <c r="H112" i="3"/>
  <c r="E112" i="3"/>
  <c r="AF111" i="3"/>
  <c r="AC111" i="3"/>
  <c r="Z111" i="3"/>
  <c r="W111" i="3"/>
  <c r="T111" i="3"/>
  <c r="K111" i="3"/>
  <c r="E111" i="3"/>
  <c r="B111" i="3"/>
  <c r="AF105" i="3"/>
  <c r="Z105" i="3"/>
  <c r="W105" i="3"/>
  <c r="T105" i="3"/>
  <c r="N105" i="3"/>
  <c r="H105" i="3"/>
  <c r="B105" i="3"/>
  <c r="AF104" i="3"/>
  <c r="AC104" i="3"/>
  <c r="Z104" i="3"/>
  <c r="W104" i="3"/>
  <c r="T104" i="3"/>
  <c r="N104" i="3"/>
  <c r="K104" i="3"/>
  <c r="E104" i="3"/>
  <c r="AF103" i="3"/>
  <c r="AC103" i="3"/>
  <c r="Z103" i="3"/>
  <c r="W103" i="3"/>
  <c r="T103" i="3"/>
  <c r="N103" i="3"/>
  <c r="K103" i="3"/>
  <c r="H103" i="3"/>
  <c r="E103" i="3"/>
  <c r="B103" i="3"/>
  <c r="AF102" i="3"/>
  <c r="AC102" i="3"/>
  <c r="Z102" i="3"/>
  <c r="W102" i="3"/>
  <c r="T102" i="3"/>
  <c r="N102" i="3"/>
  <c r="K102" i="3"/>
  <c r="H102" i="3"/>
  <c r="E102" i="3"/>
  <c r="B102" i="3"/>
  <c r="AF101" i="3"/>
  <c r="AC101" i="3"/>
  <c r="Z101" i="3"/>
  <c r="W101" i="3"/>
  <c r="T101" i="3"/>
  <c r="K101" i="3"/>
  <c r="H101" i="3"/>
  <c r="E101" i="3"/>
  <c r="B101" i="3"/>
  <c r="AC100" i="3"/>
  <c r="Z100" i="3"/>
  <c r="T100" i="3"/>
  <c r="N100" i="3"/>
  <c r="B100" i="3"/>
  <c r="AF99" i="3"/>
  <c r="AC99" i="3"/>
  <c r="Z99" i="3"/>
  <c r="W99" i="3"/>
  <c r="T99" i="3"/>
  <c r="N99" i="3"/>
  <c r="E99" i="3"/>
  <c r="B99" i="3"/>
  <c r="AF98" i="3"/>
  <c r="Z98" i="3"/>
  <c r="W98" i="3"/>
  <c r="T98" i="3"/>
  <c r="K98" i="3"/>
  <c r="H98" i="3"/>
  <c r="E98" i="3"/>
  <c r="AF97" i="3"/>
  <c r="Z97" i="3"/>
  <c r="W97" i="3"/>
  <c r="T97" i="3"/>
  <c r="K97" i="3"/>
  <c r="E97" i="3"/>
  <c r="B97" i="3"/>
  <c r="AF96" i="3"/>
  <c r="AC96" i="3"/>
  <c r="Z96" i="3"/>
  <c r="W96" i="3"/>
  <c r="T96" i="3"/>
  <c r="N96" i="3"/>
  <c r="K96" i="3"/>
  <c r="H96" i="3"/>
  <c r="E96" i="3"/>
  <c r="B96" i="3"/>
  <c r="AF90" i="3"/>
  <c r="AC90" i="3"/>
  <c r="Z90" i="3"/>
  <c r="T90" i="3"/>
  <c r="K90" i="3"/>
  <c r="H90" i="3"/>
  <c r="B90" i="3"/>
  <c r="AF89" i="3"/>
  <c r="AC89" i="3"/>
  <c r="Z89" i="3"/>
  <c r="W89" i="3"/>
  <c r="T89" i="3"/>
  <c r="N89" i="3"/>
  <c r="K89" i="3"/>
  <c r="H89" i="3"/>
  <c r="E89" i="3"/>
  <c r="B89" i="3"/>
  <c r="AF88" i="3"/>
  <c r="AC88" i="3"/>
  <c r="Z88" i="3"/>
  <c r="W88" i="3"/>
  <c r="T88" i="3"/>
  <c r="N88" i="3"/>
  <c r="K88" i="3"/>
  <c r="H88" i="3"/>
  <c r="E88" i="3"/>
  <c r="B88" i="3"/>
  <c r="AF87" i="3"/>
  <c r="AC87" i="3"/>
  <c r="Z87" i="3"/>
  <c r="W87" i="3"/>
  <c r="T87" i="3"/>
  <c r="N87" i="3"/>
  <c r="K87" i="3"/>
  <c r="H87" i="3"/>
  <c r="E87" i="3"/>
  <c r="AF86" i="3"/>
  <c r="AC86" i="3"/>
  <c r="Z86" i="3"/>
  <c r="W86" i="3"/>
  <c r="T86" i="3"/>
  <c r="N86" i="3"/>
  <c r="K86" i="3"/>
  <c r="H86" i="3"/>
  <c r="E86" i="3"/>
  <c r="B86" i="3"/>
  <c r="AF85" i="3"/>
  <c r="AC85" i="3"/>
  <c r="Z85" i="3"/>
  <c r="W85" i="3"/>
  <c r="T85" i="3"/>
  <c r="H85" i="3"/>
  <c r="E85" i="3"/>
  <c r="B85" i="3"/>
  <c r="AF84" i="3"/>
  <c r="AC84" i="3"/>
  <c r="Z84" i="3"/>
  <c r="W84" i="3"/>
  <c r="T84" i="3"/>
  <c r="N84" i="3"/>
  <c r="K84" i="3"/>
  <c r="H84" i="3"/>
  <c r="B84" i="3"/>
  <c r="AF83" i="3"/>
  <c r="AC83" i="3"/>
  <c r="W83" i="3"/>
  <c r="T83" i="3"/>
  <c r="N83" i="3"/>
  <c r="K83" i="3"/>
  <c r="H83" i="3"/>
  <c r="B83" i="3"/>
  <c r="AF82" i="3"/>
  <c r="AC82" i="3"/>
  <c r="Z82" i="3"/>
  <c r="W82" i="3"/>
  <c r="T82" i="3"/>
  <c r="N82" i="3"/>
  <c r="K82" i="3"/>
  <c r="H82" i="3"/>
  <c r="E82" i="3"/>
  <c r="AF81" i="3"/>
  <c r="AC81" i="3"/>
  <c r="Z81" i="3"/>
  <c r="W81" i="3"/>
  <c r="T81" i="3"/>
  <c r="N81" i="3"/>
  <c r="K81" i="3"/>
  <c r="H81" i="3"/>
  <c r="E81" i="3"/>
  <c r="B81" i="3"/>
  <c r="AF75" i="3"/>
  <c r="Z75" i="3"/>
  <c r="W75" i="3"/>
  <c r="T75" i="3"/>
  <c r="N75" i="3"/>
  <c r="K75" i="3"/>
  <c r="H75" i="3"/>
  <c r="E75" i="3"/>
  <c r="B75" i="3"/>
  <c r="AF74" i="3"/>
  <c r="AC74" i="3"/>
  <c r="Z74" i="3"/>
  <c r="W74" i="3"/>
  <c r="T74" i="3"/>
  <c r="N74" i="3"/>
  <c r="K74" i="3"/>
  <c r="H74" i="3"/>
  <c r="E74" i="3"/>
  <c r="B74" i="3"/>
  <c r="AF73" i="3"/>
  <c r="AC73" i="3"/>
  <c r="Z73" i="3"/>
  <c r="W73" i="3"/>
  <c r="T73" i="3"/>
  <c r="K73" i="3"/>
  <c r="H73" i="3"/>
  <c r="E73" i="3"/>
  <c r="B73" i="3"/>
  <c r="AF72" i="3"/>
  <c r="AC72" i="3"/>
  <c r="Z72" i="3"/>
  <c r="W72" i="3"/>
  <c r="T72" i="3"/>
  <c r="N72" i="3"/>
  <c r="K72" i="3"/>
  <c r="H72" i="3"/>
  <c r="E72" i="3"/>
  <c r="B72" i="3"/>
  <c r="AF71" i="3"/>
  <c r="Z71" i="3"/>
  <c r="W71" i="3"/>
  <c r="N71" i="3"/>
  <c r="K71" i="3"/>
  <c r="H71" i="3"/>
  <c r="E71" i="3"/>
  <c r="B71" i="3"/>
  <c r="AF70" i="3"/>
  <c r="Z70" i="3"/>
  <c r="W70" i="3"/>
  <c r="T70" i="3"/>
  <c r="N70" i="3"/>
  <c r="K70" i="3"/>
  <c r="H70" i="3"/>
  <c r="E70" i="3"/>
  <c r="B70" i="3"/>
  <c r="AF69" i="3"/>
  <c r="AC69" i="3"/>
  <c r="Z69" i="3"/>
  <c r="W69" i="3"/>
  <c r="T69" i="3"/>
  <c r="N69" i="3"/>
  <c r="K69" i="3"/>
  <c r="H69" i="3"/>
  <c r="E69" i="3"/>
  <c r="B69" i="3"/>
  <c r="AF68" i="3"/>
  <c r="AC68" i="3"/>
  <c r="Z68" i="3"/>
  <c r="W68" i="3"/>
  <c r="N68" i="3"/>
  <c r="K68" i="3"/>
  <c r="H68" i="3"/>
  <c r="E68" i="3"/>
  <c r="B68" i="3"/>
  <c r="AF67" i="3"/>
  <c r="AC67" i="3"/>
  <c r="Z67" i="3"/>
  <c r="W67" i="3"/>
  <c r="T67" i="3"/>
  <c r="N67" i="3"/>
  <c r="K67" i="3"/>
  <c r="H67" i="3"/>
  <c r="E67" i="3"/>
  <c r="B67" i="3"/>
  <c r="AF66" i="3"/>
  <c r="Z66" i="3"/>
  <c r="W66" i="3"/>
  <c r="T66" i="3"/>
  <c r="K66" i="3"/>
  <c r="H66" i="3"/>
  <c r="E66" i="3"/>
  <c r="B66" i="3"/>
  <c r="AF60" i="3"/>
  <c r="AC60" i="3"/>
  <c r="Z60" i="3"/>
  <c r="W60" i="3"/>
  <c r="T60" i="3"/>
  <c r="N60" i="3"/>
  <c r="H60" i="3"/>
  <c r="E60" i="3"/>
  <c r="B60" i="3"/>
  <c r="AF59" i="3"/>
  <c r="AC59" i="3"/>
  <c r="Z59" i="3"/>
  <c r="W59" i="3"/>
  <c r="T59" i="3"/>
  <c r="N59" i="3"/>
  <c r="K59" i="3"/>
  <c r="H59" i="3"/>
  <c r="E59" i="3"/>
  <c r="B59" i="3"/>
  <c r="AF58" i="3"/>
  <c r="AC58" i="3"/>
  <c r="Z58" i="3"/>
  <c r="W58" i="3"/>
  <c r="T58" i="3"/>
  <c r="N58" i="3"/>
  <c r="K58" i="3"/>
  <c r="H58" i="3"/>
  <c r="E58" i="3"/>
  <c r="B58" i="3"/>
  <c r="AF57" i="3"/>
  <c r="AC57" i="3"/>
  <c r="Z57" i="3"/>
  <c r="W57" i="3"/>
  <c r="T57" i="3"/>
  <c r="N57" i="3"/>
  <c r="K57" i="3"/>
  <c r="H57" i="3"/>
  <c r="E57" i="3"/>
  <c r="B57" i="3"/>
  <c r="AF56" i="3"/>
  <c r="AC56" i="3"/>
  <c r="Z56" i="3"/>
  <c r="W56" i="3"/>
  <c r="T56" i="3"/>
  <c r="N56" i="3"/>
  <c r="K56" i="3"/>
  <c r="H56" i="3"/>
  <c r="E56" i="3"/>
  <c r="B56" i="3"/>
  <c r="AF55" i="3"/>
  <c r="AC55" i="3"/>
  <c r="W55" i="3"/>
  <c r="T55" i="3"/>
  <c r="N55" i="3"/>
  <c r="E55" i="3"/>
  <c r="B55" i="3"/>
  <c r="AF54" i="3"/>
  <c r="AC54" i="3"/>
  <c r="Z54" i="3"/>
  <c r="W54" i="3"/>
  <c r="T54" i="3"/>
  <c r="N54" i="3"/>
  <c r="K54" i="3"/>
  <c r="H54" i="3"/>
  <c r="E54" i="3"/>
  <c r="B54" i="3"/>
  <c r="AF53" i="3"/>
  <c r="AC53" i="3"/>
  <c r="Z53" i="3"/>
  <c r="W53" i="3"/>
  <c r="T53" i="3"/>
  <c r="K53" i="3"/>
  <c r="E53" i="3"/>
  <c r="B53" i="3"/>
  <c r="AF52" i="3"/>
  <c r="AC52" i="3"/>
  <c r="Z52" i="3"/>
  <c r="W52" i="3"/>
  <c r="T52" i="3"/>
  <c r="N52" i="3"/>
  <c r="E52" i="3"/>
  <c r="B52" i="3"/>
  <c r="AF51" i="3"/>
  <c r="AC51" i="3"/>
  <c r="Z51" i="3"/>
  <c r="W51" i="3"/>
  <c r="T51" i="3"/>
  <c r="N51" i="3"/>
  <c r="K51" i="3"/>
  <c r="H51" i="3"/>
  <c r="E51" i="3"/>
  <c r="B51" i="3"/>
  <c r="AF45" i="3"/>
  <c r="AC45" i="3"/>
  <c r="Z45" i="3"/>
  <c r="W45" i="3"/>
  <c r="T45" i="3"/>
  <c r="N45" i="3"/>
  <c r="K45" i="3"/>
  <c r="E45" i="3"/>
  <c r="B45" i="3"/>
  <c r="AF44" i="3"/>
  <c r="AC44" i="3"/>
  <c r="Z44" i="3"/>
  <c r="W44" i="3"/>
  <c r="T44" i="3"/>
  <c r="N44" i="3"/>
  <c r="K44" i="3"/>
  <c r="H44" i="3"/>
  <c r="E44" i="3"/>
  <c r="B44" i="3"/>
  <c r="AF43" i="3"/>
  <c r="AC43" i="3"/>
  <c r="Z43" i="3"/>
  <c r="W43" i="3"/>
  <c r="T43" i="3"/>
  <c r="N43" i="3"/>
  <c r="K43" i="3"/>
  <c r="H43" i="3"/>
  <c r="E43" i="3"/>
  <c r="B43" i="3"/>
  <c r="AF42" i="3"/>
  <c r="AC42" i="3"/>
  <c r="Z42" i="3"/>
  <c r="W42" i="3"/>
  <c r="T42" i="3"/>
  <c r="N42" i="3"/>
  <c r="K42" i="3"/>
  <c r="H42" i="3"/>
  <c r="E42" i="3"/>
  <c r="B42" i="3"/>
  <c r="AC41" i="3"/>
  <c r="Z41" i="3"/>
  <c r="W41" i="3"/>
  <c r="T41" i="3"/>
  <c r="N41" i="3"/>
  <c r="K41" i="3"/>
  <c r="H41" i="3"/>
  <c r="E41" i="3"/>
  <c r="B41" i="3"/>
  <c r="AF40" i="3"/>
  <c r="AC40" i="3"/>
  <c r="Z40" i="3"/>
  <c r="W40" i="3"/>
  <c r="T40" i="3"/>
  <c r="N40" i="3"/>
  <c r="K40" i="3"/>
  <c r="H40" i="3"/>
  <c r="E40" i="3"/>
  <c r="AC39" i="3"/>
  <c r="W39" i="3"/>
  <c r="T39" i="3"/>
  <c r="N39" i="3"/>
  <c r="K39" i="3"/>
  <c r="H39" i="3"/>
  <c r="E39" i="3"/>
  <c r="B39" i="3"/>
  <c r="AF38" i="3"/>
  <c r="AC38" i="3"/>
  <c r="Z38" i="3"/>
  <c r="W38" i="3"/>
  <c r="T38" i="3"/>
  <c r="N38" i="3"/>
  <c r="K38" i="3"/>
  <c r="H38" i="3"/>
  <c r="E38" i="3"/>
  <c r="B38" i="3"/>
  <c r="AF37" i="3"/>
  <c r="AC37" i="3"/>
  <c r="Z37" i="3"/>
  <c r="W37" i="3"/>
  <c r="T37" i="3"/>
  <c r="N37" i="3"/>
  <c r="K37" i="3"/>
  <c r="H37" i="3"/>
  <c r="E37" i="3"/>
  <c r="B37" i="3"/>
  <c r="Z36" i="3"/>
  <c r="W36" i="3"/>
  <c r="T36" i="3"/>
  <c r="N36" i="3"/>
  <c r="K36" i="3"/>
  <c r="H36" i="3"/>
  <c r="E36" i="3"/>
  <c r="B36" i="3"/>
  <c r="AF30" i="3"/>
  <c r="AC30" i="3"/>
  <c r="Z30" i="3"/>
  <c r="T30" i="3"/>
  <c r="H30" i="3"/>
  <c r="E30" i="3"/>
  <c r="B30" i="3"/>
  <c r="AF29" i="3"/>
  <c r="AC29" i="3"/>
  <c r="Z29" i="3"/>
  <c r="W29" i="3"/>
  <c r="T29" i="3"/>
  <c r="N29" i="3"/>
  <c r="K29" i="3"/>
  <c r="E29" i="3"/>
  <c r="B29" i="3"/>
  <c r="AF28" i="3"/>
  <c r="AC28" i="3"/>
  <c r="Z28" i="3"/>
  <c r="W28" i="3"/>
  <c r="T28" i="3"/>
  <c r="N28" i="3"/>
  <c r="K28" i="3"/>
  <c r="H28" i="3"/>
  <c r="E28" i="3"/>
  <c r="B28" i="3"/>
  <c r="AF27" i="3"/>
  <c r="AC27" i="3"/>
  <c r="Z27" i="3"/>
  <c r="W27" i="3"/>
  <c r="T27" i="3"/>
  <c r="N27" i="3"/>
  <c r="K27" i="3"/>
  <c r="H27" i="3"/>
  <c r="E27" i="3"/>
  <c r="B27" i="3"/>
  <c r="AC26" i="3"/>
  <c r="Z26" i="3"/>
  <c r="W26" i="3"/>
  <c r="T26" i="3"/>
  <c r="N26" i="3"/>
  <c r="K26" i="3"/>
  <c r="H26" i="3"/>
  <c r="E26" i="3"/>
  <c r="B26" i="3"/>
  <c r="AF25" i="3"/>
  <c r="AC25" i="3"/>
  <c r="Z25" i="3"/>
  <c r="N25" i="3"/>
  <c r="H25" i="3"/>
  <c r="B25" i="3"/>
  <c r="AC24" i="3"/>
  <c r="Z24" i="3"/>
  <c r="W24" i="3"/>
  <c r="N24" i="3"/>
  <c r="K24" i="3"/>
  <c r="H24" i="3"/>
  <c r="E24" i="3"/>
  <c r="B24" i="3"/>
  <c r="AF23" i="3"/>
  <c r="AC23" i="3"/>
  <c r="Z23" i="3"/>
  <c r="W23" i="3"/>
  <c r="T23" i="3"/>
  <c r="N23" i="3"/>
  <c r="H23" i="3"/>
  <c r="E23" i="3"/>
  <c r="B23" i="3"/>
  <c r="AF22" i="3"/>
  <c r="AC22" i="3"/>
  <c r="Z22" i="3"/>
  <c r="T22" i="3"/>
  <c r="N22" i="3"/>
  <c r="K22" i="3"/>
  <c r="E22" i="3"/>
  <c r="B22" i="3"/>
  <c r="AF21" i="3"/>
  <c r="AC21" i="3"/>
  <c r="Z21" i="3"/>
  <c r="W21" i="3"/>
  <c r="T21" i="3"/>
  <c r="N21" i="3"/>
  <c r="K21" i="3"/>
  <c r="H21" i="3"/>
  <c r="B21" i="3"/>
  <c r="K13" i="3"/>
  <c r="H13" i="3"/>
  <c r="E13" i="3"/>
  <c r="B13" i="3"/>
  <c r="K12" i="3"/>
  <c r="H12" i="3"/>
  <c r="E12" i="3"/>
  <c r="B12" i="3"/>
  <c r="K11" i="3"/>
  <c r="H11" i="3"/>
  <c r="E11" i="3"/>
  <c r="B11" i="3"/>
  <c r="K10" i="3"/>
  <c r="H10" i="3"/>
  <c r="E10" i="3"/>
  <c r="B10" i="3"/>
  <c r="K9" i="3"/>
  <c r="H9" i="3"/>
  <c r="E9" i="3"/>
  <c r="B9" i="3"/>
  <c r="K8" i="3"/>
  <c r="H8" i="3"/>
  <c r="E8" i="3"/>
  <c r="B8" i="3"/>
  <c r="K7" i="3"/>
  <c r="H7" i="3"/>
  <c r="E7" i="3"/>
  <c r="B7" i="3"/>
  <c r="K6" i="3"/>
  <c r="H6" i="3"/>
  <c r="E6" i="3"/>
  <c r="B6" i="3"/>
  <c r="K5" i="3"/>
  <c r="H5" i="3"/>
  <c r="E5" i="3"/>
  <c r="K4" i="3"/>
  <c r="H4" i="3"/>
  <c r="E4" i="3"/>
  <c r="B4" i="3"/>
  <c r="AE156" i="2"/>
  <c r="AE157" i="2"/>
  <c r="AE158" i="2"/>
  <c r="AE159" i="2"/>
  <c r="AE160" i="2"/>
  <c r="AE161" i="2"/>
  <c r="AE162" i="2"/>
  <c r="AE163" i="2"/>
  <c r="AE164" i="2"/>
  <c r="AE165" i="2"/>
  <c r="AB156" i="2"/>
  <c r="AB157" i="2"/>
  <c r="AB158" i="2"/>
  <c r="AB159" i="2"/>
  <c r="AB160" i="2"/>
  <c r="AB161" i="2"/>
  <c r="AB162" i="2"/>
  <c r="AB163" i="2"/>
  <c r="AB164" i="2"/>
  <c r="AB165" i="2"/>
  <c r="Y156" i="2"/>
  <c r="Y157" i="2"/>
  <c r="Y158" i="2"/>
  <c r="Y159" i="2"/>
  <c r="Y160" i="2"/>
  <c r="Y161" i="2"/>
  <c r="Y162" i="2"/>
  <c r="Y163" i="2"/>
  <c r="Y164" i="2"/>
  <c r="Y165" i="2"/>
  <c r="V156" i="2"/>
  <c r="V157" i="2"/>
  <c r="V158" i="2"/>
  <c r="V159" i="2"/>
  <c r="V160" i="2"/>
  <c r="V161" i="2"/>
  <c r="W161" i="2" s="1"/>
  <c r="V162" i="2"/>
  <c r="V163" i="2"/>
  <c r="V164" i="2"/>
  <c r="V165" i="2"/>
  <c r="S156" i="2"/>
  <c r="S157" i="2"/>
  <c r="S158" i="2"/>
  <c r="S159" i="2"/>
  <c r="S160" i="2"/>
  <c r="S161" i="2"/>
  <c r="S162" i="2"/>
  <c r="S163" i="2"/>
  <c r="S164" i="2"/>
  <c r="S165" i="2"/>
  <c r="AE141" i="2"/>
  <c r="AE142" i="2"/>
  <c r="AE143" i="2"/>
  <c r="AF143" i="2" s="1"/>
  <c r="AE144" i="2"/>
  <c r="AE145" i="2"/>
  <c r="AE146" i="2"/>
  <c r="AE147" i="2"/>
  <c r="AE148" i="2"/>
  <c r="AE149" i="2"/>
  <c r="AE150" i="2"/>
  <c r="AB141" i="2"/>
  <c r="AB142" i="2"/>
  <c r="AB143" i="2"/>
  <c r="AB144" i="2"/>
  <c r="AB145" i="2"/>
  <c r="AB146" i="2"/>
  <c r="AB147" i="2"/>
  <c r="AB148" i="2"/>
  <c r="AB149" i="2"/>
  <c r="AB150" i="2"/>
  <c r="Y141" i="2"/>
  <c r="Y142" i="2"/>
  <c r="Z142" i="2" s="1"/>
  <c r="Y143" i="2"/>
  <c r="Z143" i="2" s="1"/>
  <c r="Z151" i="2" s="1"/>
  <c r="Y144" i="2"/>
  <c r="Y145" i="2"/>
  <c r="Y146" i="2"/>
  <c r="Y147" i="2"/>
  <c r="Y148" i="2"/>
  <c r="Y149" i="2"/>
  <c r="Y150" i="2"/>
  <c r="Z150" i="2" s="1"/>
  <c r="V141" i="2"/>
  <c r="V142" i="2"/>
  <c r="V143" i="2"/>
  <c r="V144" i="2"/>
  <c r="W144" i="2" s="1"/>
  <c r="V145" i="2"/>
  <c r="V146" i="2"/>
  <c r="V147" i="2"/>
  <c r="V148" i="2"/>
  <c r="V149" i="2"/>
  <c r="V150" i="2"/>
  <c r="W150" i="2" s="1"/>
  <c r="S141" i="2"/>
  <c r="S142" i="2"/>
  <c r="S143" i="2"/>
  <c r="S144" i="2"/>
  <c r="T144" i="2" s="1"/>
  <c r="S145" i="2"/>
  <c r="S146" i="2"/>
  <c r="S147" i="2"/>
  <c r="S148" i="2"/>
  <c r="S149" i="2"/>
  <c r="T149" i="2" s="1"/>
  <c r="S150" i="2"/>
  <c r="T150" i="2" s="1"/>
  <c r="AE126" i="2"/>
  <c r="AE127" i="2"/>
  <c r="AE128" i="2"/>
  <c r="AE129" i="2"/>
  <c r="AE130" i="2"/>
  <c r="AE131" i="2"/>
  <c r="AE132" i="2"/>
  <c r="AE133" i="2"/>
  <c r="AE134" i="2"/>
  <c r="AE135" i="2"/>
  <c r="AB126" i="2"/>
  <c r="AB127" i="2"/>
  <c r="AB128" i="2"/>
  <c r="AC128" i="2" s="1"/>
  <c r="AC136" i="2" s="1"/>
  <c r="AB129" i="2"/>
  <c r="AB130" i="2"/>
  <c r="AC130" i="2" s="1"/>
  <c r="AB131" i="2"/>
  <c r="AB132" i="2"/>
  <c r="AB133" i="2"/>
  <c r="AB134" i="2"/>
  <c r="AB135" i="2"/>
  <c r="AC135" i="2" s="1"/>
  <c r="Y126" i="2"/>
  <c r="Y127" i="2"/>
  <c r="Y128" i="2"/>
  <c r="Z128" i="2" s="1"/>
  <c r="Y129" i="2"/>
  <c r="Z129" i="2" s="1"/>
  <c r="Y130" i="2"/>
  <c r="Y131" i="2"/>
  <c r="Y132" i="2"/>
  <c r="Y133" i="2"/>
  <c r="Y134" i="2"/>
  <c r="Z134" i="2" s="1"/>
  <c r="Y135" i="2"/>
  <c r="V126" i="2"/>
  <c r="V127" i="2"/>
  <c r="V128" i="2"/>
  <c r="V129" i="2"/>
  <c r="V130" i="2"/>
  <c r="V131" i="2"/>
  <c r="V132" i="2"/>
  <c r="V133" i="2"/>
  <c r="V134" i="2"/>
  <c r="V135" i="2"/>
  <c r="S126" i="2"/>
  <c r="S127" i="2"/>
  <c r="S128" i="2"/>
  <c r="S129" i="2"/>
  <c r="S130" i="2"/>
  <c r="S131" i="2"/>
  <c r="S132" i="2"/>
  <c r="S133" i="2"/>
  <c r="S134" i="2"/>
  <c r="T134" i="2" s="1"/>
  <c r="S135" i="2"/>
  <c r="T135" i="2" s="1"/>
  <c r="AE111" i="2"/>
  <c r="AF111" i="2" s="1"/>
  <c r="AE112" i="2"/>
  <c r="AE113" i="2"/>
  <c r="AE114" i="2"/>
  <c r="AF114" i="2" s="1"/>
  <c r="AE115" i="2"/>
  <c r="AE116" i="2"/>
  <c r="AE117" i="2"/>
  <c r="AE118" i="2"/>
  <c r="AE119" i="2"/>
  <c r="AE120" i="2"/>
  <c r="AB111" i="2"/>
  <c r="AB112" i="2"/>
  <c r="AB113" i="2"/>
  <c r="AC113" i="2" s="1"/>
  <c r="AB114" i="2"/>
  <c r="AC114" i="2" s="1"/>
  <c r="AB115" i="2"/>
  <c r="AB116" i="2"/>
  <c r="AB117" i="2"/>
  <c r="AB118" i="2"/>
  <c r="AB119" i="2"/>
  <c r="AB120" i="2"/>
  <c r="AC120" i="2" s="1"/>
  <c r="Y111" i="2"/>
  <c r="Y112" i="2"/>
  <c r="Y113" i="2"/>
  <c r="Y114" i="2"/>
  <c r="Y115" i="2"/>
  <c r="Y116" i="2"/>
  <c r="Y117" i="2"/>
  <c r="Y118" i="2"/>
  <c r="Y119" i="2"/>
  <c r="Y120" i="2"/>
  <c r="V111" i="2"/>
  <c r="V112" i="2"/>
  <c r="V113" i="2"/>
  <c r="W113" i="2" s="1"/>
  <c r="V114" i="2"/>
  <c r="V115" i="2"/>
  <c r="V116" i="2"/>
  <c r="V117" i="2"/>
  <c r="V118" i="2"/>
  <c r="V119" i="2"/>
  <c r="V120" i="2"/>
  <c r="S111" i="2"/>
  <c r="T111" i="2" s="1"/>
  <c r="T121" i="2" s="1"/>
  <c r="S112" i="2"/>
  <c r="S113" i="2"/>
  <c r="S114" i="2"/>
  <c r="S115" i="2"/>
  <c r="S116" i="2"/>
  <c r="S117" i="2"/>
  <c r="S118" i="2"/>
  <c r="S119" i="2"/>
  <c r="S120" i="2"/>
  <c r="AE96" i="2"/>
  <c r="AF96" i="2" s="1"/>
  <c r="AE97" i="2"/>
  <c r="AF97" i="2" s="1"/>
  <c r="AE98" i="2"/>
  <c r="AF98" i="2" s="1"/>
  <c r="AE99" i="2"/>
  <c r="AE100" i="2"/>
  <c r="AF100" i="2" s="1"/>
  <c r="AE101" i="2"/>
  <c r="AE102" i="2"/>
  <c r="AE103" i="2"/>
  <c r="AE104" i="2"/>
  <c r="AE105" i="2"/>
  <c r="AB96" i="2"/>
  <c r="AC96" i="2" s="1"/>
  <c r="AB97" i="2"/>
  <c r="AB98" i="2"/>
  <c r="AB99" i="2"/>
  <c r="AB100" i="2"/>
  <c r="AC100" i="2" s="1"/>
  <c r="AB101" i="2"/>
  <c r="AB102" i="2"/>
  <c r="AB103" i="2"/>
  <c r="AB104" i="2"/>
  <c r="AB105" i="2"/>
  <c r="Y96" i="2"/>
  <c r="Y97" i="2"/>
  <c r="Y98" i="2"/>
  <c r="Y99" i="2"/>
  <c r="Y100" i="2"/>
  <c r="Y101" i="2"/>
  <c r="Y102" i="2"/>
  <c r="Y103" i="2"/>
  <c r="Y104" i="2"/>
  <c r="Z104" i="2" s="1"/>
  <c r="Y105" i="2"/>
  <c r="V96" i="2"/>
  <c r="V97" i="2"/>
  <c r="V98" i="2"/>
  <c r="V99" i="2"/>
  <c r="W99" i="2" s="1"/>
  <c r="V100" i="2"/>
  <c r="W100" i="2" s="1"/>
  <c r="V101" i="2"/>
  <c r="W101" i="2" s="1"/>
  <c r="V102" i="2"/>
  <c r="V103" i="2"/>
  <c r="V104" i="2"/>
  <c r="V105" i="2"/>
  <c r="W105" i="2" s="1"/>
  <c r="S96" i="2"/>
  <c r="S97" i="2"/>
  <c r="S98" i="2"/>
  <c r="S99" i="2"/>
  <c r="S100" i="2"/>
  <c r="S101" i="2"/>
  <c r="S102" i="2"/>
  <c r="S103" i="2"/>
  <c r="S104" i="2"/>
  <c r="T104" i="2" s="1"/>
  <c r="S105" i="2"/>
  <c r="AE81" i="2"/>
  <c r="AE82" i="2"/>
  <c r="AE83" i="2"/>
  <c r="AF83" i="2" s="1"/>
  <c r="AE84" i="2"/>
  <c r="AE85" i="2"/>
  <c r="AF85" i="2" s="1"/>
  <c r="AE86" i="2"/>
  <c r="AE87" i="2"/>
  <c r="AE88" i="2"/>
  <c r="AE89" i="2"/>
  <c r="AE90" i="2"/>
  <c r="AB81" i="2"/>
  <c r="AC81" i="2" s="1"/>
  <c r="AB82" i="2"/>
  <c r="AC82" i="2" s="1"/>
  <c r="AB83" i="2"/>
  <c r="AB84" i="2"/>
  <c r="AC84" i="2" s="1"/>
  <c r="AB85" i="2"/>
  <c r="AB86" i="2"/>
  <c r="AB87" i="2"/>
  <c r="AB88" i="2"/>
  <c r="AB89" i="2"/>
  <c r="AC89" i="2" s="1"/>
  <c r="AB90" i="2"/>
  <c r="AC90" i="2" s="1"/>
  <c r="Y81" i="2"/>
  <c r="Y82" i="2"/>
  <c r="Z82" i="2" s="1"/>
  <c r="Y83" i="2"/>
  <c r="Y84" i="2"/>
  <c r="Z84" i="2" s="1"/>
  <c r="Y85" i="2"/>
  <c r="Y86" i="2"/>
  <c r="Z86" i="2" s="1"/>
  <c r="Y87" i="2"/>
  <c r="Y88" i="2"/>
  <c r="Y89" i="2"/>
  <c r="Y90" i="2"/>
  <c r="V81" i="2"/>
  <c r="V82" i="2"/>
  <c r="V83" i="2"/>
  <c r="V84" i="2"/>
  <c r="V85" i="2"/>
  <c r="V86" i="2"/>
  <c r="V87" i="2"/>
  <c r="V88" i="2"/>
  <c r="V89" i="2"/>
  <c r="V90" i="2"/>
  <c r="S81" i="2"/>
  <c r="S82" i="2"/>
  <c r="S83" i="2"/>
  <c r="S84" i="2"/>
  <c r="S85" i="2"/>
  <c r="S86" i="2"/>
  <c r="S87" i="2"/>
  <c r="S88" i="2"/>
  <c r="S89" i="2"/>
  <c r="S90" i="2"/>
  <c r="AE66" i="2"/>
  <c r="AE67" i="2"/>
  <c r="AE68" i="2"/>
  <c r="AE69" i="2"/>
  <c r="AE70" i="2"/>
  <c r="AE71" i="2"/>
  <c r="AE72" i="2"/>
  <c r="AE73" i="2"/>
  <c r="AE74" i="2"/>
  <c r="AF74" i="2" s="1"/>
  <c r="AE75" i="2"/>
  <c r="AB66" i="2"/>
  <c r="AB67" i="2"/>
  <c r="AC67" i="2" s="1"/>
  <c r="AB68" i="2"/>
  <c r="AC68" i="2" s="1"/>
  <c r="AB69" i="2"/>
  <c r="AB70" i="2"/>
  <c r="AC70" i="2" s="1"/>
  <c r="AB71" i="2"/>
  <c r="AC71" i="2" s="1"/>
  <c r="AB72" i="2"/>
  <c r="AB73" i="2"/>
  <c r="AB74" i="2"/>
  <c r="AB75" i="2"/>
  <c r="Y66" i="2"/>
  <c r="Y67" i="2"/>
  <c r="Z67" i="2" s="1"/>
  <c r="Y68" i="2"/>
  <c r="Y69" i="2"/>
  <c r="Y70" i="2"/>
  <c r="Y71" i="2"/>
  <c r="Y72" i="2"/>
  <c r="Y73" i="2"/>
  <c r="Y74" i="2"/>
  <c r="Y75" i="2"/>
  <c r="V66" i="2"/>
  <c r="V67" i="2"/>
  <c r="V68" i="2"/>
  <c r="V69" i="2"/>
  <c r="W69" i="2" s="1"/>
  <c r="V70" i="2"/>
  <c r="W70" i="2" s="1"/>
  <c r="W76" i="2" s="1"/>
  <c r="V71" i="2"/>
  <c r="W71" i="2" s="1"/>
  <c r="V72" i="2"/>
  <c r="V73" i="2"/>
  <c r="V74" i="2"/>
  <c r="V75" i="2"/>
  <c r="S66" i="2"/>
  <c r="S67" i="2"/>
  <c r="S68" i="2"/>
  <c r="S69" i="2"/>
  <c r="S70" i="2"/>
  <c r="S71" i="2"/>
  <c r="S72" i="2"/>
  <c r="S73" i="2"/>
  <c r="T73" i="2" s="1"/>
  <c r="S74" i="2"/>
  <c r="T74" i="2" s="1"/>
  <c r="S75" i="2"/>
  <c r="AE51" i="2"/>
  <c r="AE52" i="2"/>
  <c r="AE53" i="2"/>
  <c r="AE54" i="2"/>
  <c r="AF54" i="2" s="1"/>
  <c r="AE55" i="2"/>
  <c r="AE56" i="2"/>
  <c r="AE57" i="2"/>
  <c r="AE58" i="2"/>
  <c r="AE59" i="2"/>
  <c r="AE60" i="2"/>
  <c r="AF60" i="2" s="1"/>
  <c r="AB51" i="2"/>
  <c r="AC51" i="2" s="1"/>
  <c r="AB52" i="2"/>
  <c r="AB53" i="2"/>
  <c r="AC53" i="2" s="1"/>
  <c r="AB54" i="2"/>
  <c r="AC54" i="2" s="1"/>
  <c r="AB55" i="2"/>
  <c r="AC55" i="2" s="1"/>
  <c r="AB56" i="2"/>
  <c r="AC56" i="2" s="1"/>
  <c r="AB57" i="2"/>
  <c r="AB58" i="2"/>
  <c r="AC58" i="2" s="1"/>
  <c r="AB59" i="2"/>
  <c r="AB60" i="2"/>
  <c r="Y51" i="2"/>
  <c r="Y52" i="2"/>
  <c r="Y53" i="2"/>
  <c r="Y54" i="2"/>
  <c r="Y55" i="2"/>
  <c r="Y56" i="2"/>
  <c r="Y57" i="2"/>
  <c r="Y58" i="2"/>
  <c r="Y59" i="2"/>
  <c r="Y60" i="2"/>
  <c r="V51" i="2"/>
  <c r="V52" i="2"/>
  <c r="V53" i="2"/>
  <c r="V54" i="2"/>
  <c r="V55" i="2"/>
  <c r="V56" i="2"/>
  <c r="V57" i="2"/>
  <c r="V58" i="2"/>
  <c r="W58" i="2" s="1"/>
  <c r="V59" i="2"/>
  <c r="V60" i="2"/>
  <c r="S51" i="2"/>
  <c r="S52" i="2"/>
  <c r="T52" i="2" s="1"/>
  <c r="T61" i="2" s="1"/>
  <c r="S53" i="2"/>
  <c r="S54" i="2"/>
  <c r="S55" i="2"/>
  <c r="S56" i="2"/>
  <c r="S57" i="2"/>
  <c r="S58" i="2"/>
  <c r="S59" i="2"/>
  <c r="S60" i="2"/>
  <c r="T60" i="2" s="1"/>
  <c r="AE36" i="2"/>
  <c r="AE37" i="2"/>
  <c r="AE38" i="2"/>
  <c r="AE39" i="2"/>
  <c r="AE40" i="2"/>
  <c r="AE41" i="2"/>
  <c r="AE42" i="2"/>
  <c r="AE43" i="2"/>
  <c r="AE44" i="2"/>
  <c r="AE45" i="2"/>
  <c r="AF45" i="2" s="1"/>
  <c r="AB36" i="2"/>
  <c r="AB37" i="2"/>
  <c r="AB38" i="2"/>
  <c r="AB39" i="2"/>
  <c r="AB40" i="2"/>
  <c r="AB41" i="2"/>
  <c r="AB42" i="2"/>
  <c r="AB43" i="2"/>
  <c r="AB44" i="2"/>
  <c r="AB45" i="2"/>
  <c r="Y36" i="2"/>
  <c r="Z36" i="2" s="1"/>
  <c r="Y37" i="2"/>
  <c r="Y38" i="2"/>
  <c r="Y39" i="2"/>
  <c r="Y40" i="2"/>
  <c r="Z40" i="2" s="1"/>
  <c r="Y41" i="2"/>
  <c r="Y42" i="2"/>
  <c r="Y43" i="2"/>
  <c r="Y44" i="2"/>
  <c r="Z44" i="2" s="1"/>
  <c r="Y45" i="2"/>
  <c r="Z45" i="2" s="1"/>
  <c r="V36" i="2"/>
  <c r="V37" i="2"/>
  <c r="W37" i="2" s="1"/>
  <c r="V38" i="2"/>
  <c r="W38" i="2" s="1"/>
  <c r="V39" i="2"/>
  <c r="V40" i="2"/>
  <c r="V41" i="2"/>
  <c r="V42" i="2"/>
  <c r="V43" i="2"/>
  <c r="V44" i="2"/>
  <c r="V45" i="2"/>
  <c r="S36" i="2"/>
  <c r="S37" i="2"/>
  <c r="S38" i="2"/>
  <c r="T38" i="2" s="1"/>
  <c r="S39" i="2"/>
  <c r="T39" i="2" s="1"/>
  <c r="S40" i="2"/>
  <c r="S41" i="2"/>
  <c r="S42" i="2"/>
  <c r="S43" i="2"/>
  <c r="S44" i="2"/>
  <c r="T44" i="2" s="1"/>
  <c r="S45" i="2"/>
  <c r="AE21" i="2"/>
  <c r="AE22" i="2"/>
  <c r="AE23" i="2"/>
  <c r="AF23" i="2" s="1"/>
  <c r="AF31" i="2" s="1"/>
  <c r="AE24" i="2"/>
  <c r="AE25" i="2"/>
  <c r="AE26" i="2"/>
  <c r="AE27" i="2"/>
  <c r="AE28" i="2"/>
  <c r="AE29" i="2"/>
  <c r="AF29" i="2" s="1"/>
  <c r="AE30" i="2"/>
  <c r="AB21" i="2"/>
  <c r="AC21" i="2" s="1"/>
  <c r="AB22" i="2"/>
  <c r="AB23" i="2"/>
  <c r="AC23" i="2" s="1"/>
  <c r="AB24" i="2"/>
  <c r="AC24" i="2" s="1"/>
  <c r="AB25" i="2"/>
  <c r="AB26" i="2"/>
  <c r="AB27" i="2"/>
  <c r="AB28" i="2"/>
  <c r="AB29" i="2"/>
  <c r="AB30" i="2"/>
  <c r="AC30" i="2" s="1"/>
  <c r="Y21" i="2"/>
  <c r="Y22" i="2"/>
  <c r="Y23" i="2"/>
  <c r="Z23" i="2" s="1"/>
  <c r="Y24" i="2"/>
  <c r="Y25" i="2"/>
  <c r="Y26" i="2"/>
  <c r="Y27" i="2"/>
  <c r="Y28" i="2"/>
  <c r="Y29" i="2"/>
  <c r="Y30" i="2"/>
  <c r="Z30" i="2" s="1"/>
  <c r="V21" i="2"/>
  <c r="V22" i="2"/>
  <c r="W22" i="2" s="1"/>
  <c r="V23" i="2"/>
  <c r="W23" i="2" s="1"/>
  <c r="V24" i="2"/>
  <c r="V25" i="2"/>
  <c r="V26" i="2"/>
  <c r="V27" i="2"/>
  <c r="V28" i="2"/>
  <c r="V29" i="2"/>
  <c r="V30" i="2"/>
  <c r="W30" i="2" s="1"/>
  <c r="S21" i="2"/>
  <c r="S22" i="2"/>
  <c r="S23" i="2"/>
  <c r="S24" i="2"/>
  <c r="S25" i="2"/>
  <c r="S26" i="2"/>
  <c r="S27" i="2"/>
  <c r="T27" i="2" s="1"/>
  <c r="S28" i="2"/>
  <c r="T28" i="2" s="1"/>
  <c r="S29" i="2"/>
  <c r="S30" i="2"/>
  <c r="T30" i="2" s="1"/>
  <c r="M156" i="2"/>
  <c r="M157" i="2"/>
  <c r="N157" i="2" s="1"/>
  <c r="M158" i="2"/>
  <c r="M159" i="2"/>
  <c r="M160" i="2"/>
  <c r="M161" i="2"/>
  <c r="N161" i="2" s="1"/>
  <c r="M162" i="2"/>
  <c r="M163" i="2"/>
  <c r="M164" i="2"/>
  <c r="M165" i="2"/>
  <c r="J156" i="2"/>
  <c r="J157" i="2"/>
  <c r="K157" i="2" s="1"/>
  <c r="J158" i="2"/>
  <c r="J159" i="2"/>
  <c r="J160" i="2"/>
  <c r="K160" i="2" s="1"/>
  <c r="J161" i="2"/>
  <c r="J162" i="2"/>
  <c r="K162" i="2" s="1"/>
  <c r="J163" i="2"/>
  <c r="J164" i="2"/>
  <c r="J165" i="2"/>
  <c r="G156" i="2"/>
  <c r="G157" i="2"/>
  <c r="H157" i="2" s="1"/>
  <c r="G158" i="2"/>
  <c r="G159" i="2"/>
  <c r="H159" i="2" s="1"/>
  <c r="G160" i="2"/>
  <c r="G161" i="2"/>
  <c r="G162" i="2"/>
  <c r="G163" i="2"/>
  <c r="H163" i="2" s="1"/>
  <c r="G164" i="2"/>
  <c r="G165" i="2"/>
  <c r="D156" i="2"/>
  <c r="E156" i="2" s="1"/>
  <c r="D157" i="2"/>
  <c r="D158" i="2"/>
  <c r="D159" i="2"/>
  <c r="D160" i="2"/>
  <c r="E160" i="2" s="1"/>
  <c r="D161" i="2"/>
  <c r="D162" i="2"/>
  <c r="D163" i="2"/>
  <c r="D164" i="2"/>
  <c r="D165" i="2"/>
  <c r="E165" i="2" s="1"/>
  <c r="A156" i="2"/>
  <c r="B156" i="2" s="1"/>
  <c r="A157" i="2"/>
  <c r="B157" i="2" s="1"/>
  <c r="A158" i="2"/>
  <c r="A159" i="2"/>
  <c r="B159" i="2" s="1"/>
  <c r="A160" i="2"/>
  <c r="A161" i="2"/>
  <c r="A162" i="2"/>
  <c r="A163" i="2"/>
  <c r="A164" i="2"/>
  <c r="A165" i="2"/>
  <c r="B165" i="2" s="1"/>
  <c r="M141" i="2"/>
  <c r="M142" i="2"/>
  <c r="M143" i="2"/>
  <c r="M144" i="2"/>
  <c r="M145" i="2"/>
  <c r="M146" i="2"/>
  <c r="M147" i="2"/>
  <c r="M148" i="2"/>
  <c r="M149" i="2"/>
  <c r="M150" i="2"/>
  <c r="J141" i="2"/>
  <c r="J142" i="2"/>
  <c r="J143" i="2"/>
  <c r="J144" i="2"/>
  <c r="K144" i="2" s="1"/>
  <c r="J145" i="2"/>
  <c r="K145" i="2" s="1"/>
  <c r="J146" i="2"/>
  <c r="K146" i="2" s="1"/>
  <c r="J147" i="2"/>
  <c r="J148" i="2"/>
  <c r="J149" i="2"/>
  <c r="J150" i="2"/>
  <c r="G141" i="2"/>
  <c r="G142" i="2"/>
  <c r="H142" i="2" s="1"/>
  <c r="G143" i="2"/>
  <c r="G144" i="2"/>
  <c r="H144" i="2" s="1"/>
  <c r="G145" i="2"/>
  <c r="G146" i="2"/>
  <c r="G147" i="2"/>
  <c r="G148" i="2"/>
  <c r="H148" i="2" s="1"/>
  <c r="G149" i="2"/>
  <c r="G150" i="2"/>
  <c r="D141" i="2"/>
  <c r="D142" i="2"/>
  <c r="D143" i="2"/>
  <c r="D144" i="2"/>
  <c r="D145" i="2"/>
  <c r="D146" i="2"/>
  <c r="E146" i="2" s="1"/>
  <c r="D147" i="2"/>
  <c r="D148" i="2"/>
  <c r="D149" i="2"/>
  <c r="E149" i="2" s="1"/>
  <c r="D150" i="2"/>
  <c r="A141" i="2"/>
  <c r="A142" i="2"/>
  <c r="A143" i="2"/>
  <c r="B143" i="2" s="1"/>
  <c r="A144" i="2"/>
  <c r="B144" i="2" s="1"/>
  <c r="A145" i="2"/>
  <c r="A146" i="2"/>
  <c r="B146" i="2" s="1"/>
  <c r="A147" i="2"/>
  <c r="A148" i="2"/>
  <c r="A149" i="2"/>
  <c r="A150" i="2"/>
  <c r="M126" i="2"/>
  <c r="M127" i="2"/>
  <c r="M128" i="2"/>
  <c r="M129" i="2"/>
  <c r="M130" i="2"/>
  <c r="N130" i="2" s="1"/>
  <c r="M131" i="2"/>
  <c r="M132" i="2"/>
  <c r="M133" i="2"/>
  <c r="N133" i="2" s="1"/>
  <c r="M134" i="2"/>
  <c r="N134" i="2" s="1"/>
  <c r="M135" i="2"/>
  <c r="J126" i="2"/>
  <c r="J127" i="2"/>
  <c r="J128" i="2"/>
  <c r="J129" i="2"/>
  <c r="K129" i="2" s="1"/>
  <c r="J130" i="2"/>
  <c r="K130" i="2" s="1"/>
  <c r="J131" i="2"/>
  <c r="K131" i="2" s="1"/>
  <c r="J132" i="2"/>
  <c r="J133" i="2"/>
  <c r="J134" i="2"/>
  <c r="J135" i="2"/>
  <c r="G126" i="2"/>
  <c r="G127" i="2"/>
  <c r="G128" i="2"/>
  <c r="H128" i="2" s="1"/>
  <c r="G129" i="2"/>
  <c r="G130" i="2"/>
  <c r="G131" i="2"/>
  <c r="H131" i="2" s="1"/>
  <c r="G132" i="2"/>
  <c r="H132" i="2" s="1"/>
  <c r="G133" i="2"/>
  <c r="G134" i="2"/>
  <c r="G135" i="2"/>
  <c r="D126" i="2"/>
  <c r="E126" i="2" s="1"/>
  <c r="D127" i="2"/>
  <c r="D128" i="2"/>
  <c r="E128" i="2" s="1"/>
  <c r="D129" i="2"/>
  <c r="D130" i="2"/>
  <c r="E130" i="2" s="1"/>
  <c r="D131" i="2"/>
  <c r="E131" i="2" s="1"/>
  <c r="D132" i="2"/>
  <c r="D133" i="2"/>
  <c r="D134" i="2"/>
  <c r="D135" i="2"/>
  <c r="A126" i="2"/>
  <c r="B126" i="2" s="1"/>
  <c r="A127" i="2"/>
  <c r="A128" i="2"/>
  <c r="A129" i="2"/>
  <c r="B129" i="2" s="1"/>
  <c r="A130" i="2"/>
  <c r="A131" i="2"/>
  <c r="A132" i="2"/>
  <c r="A133" i="2"/>
  <c r="A134" i="2"/>
  <c r="A135" i="2"/>
  <c r="B135" i="2" s="1"/>
  <c r="M111" i="2"/>
  <c r="M112" i="2"/>
  <c r="N112" i="2" s="1"/>
  <c r="M113" i="2"/>
  <c r="M114" i="2"/>
  <c r="N114" i="2" s="1"/>
  <c r="M115" i="2"/>
  <c r="N115" i="2" s="1"/>
  <c r="M116" i="2"/>
  <c r="M117" i="2"/>
  <c r="M118" i="2"/>
  <c r="M119" i="2"/>
  <c r="N119" i="2" s="1"/>
  <c r="M120" i="2"/>
  <c r="N120" i="2" s="1"/>
  <c r="J111" i="2"/>
  <c r="J112" i="2"/>
  <c r="J113" i="2"/>
  <c r="J114" i="2"/>
  <c r="J115" i="2"/>
  <c r="J116" i="2"/>
  <c r="J117" i="2"/>
  <c r="J118" i="2"/>
  <c r="J119" i="2"/>
  <c r="J120" i="2"/>
  <c r="K120" i="2" s="1"/>
  <c r="G111" i="2"/>
  <c r="G112" i="2"/>
  <c r="H112" i="2" s="1"/>
  <c r="G113" i="2"/>
  <c r="G114" i="2"/>
  <c r="G115" i="2"/>
  <c r="H115" i="2" s="1"/>
  <c r="G116" i="2"/>
  <c r="H116" i="2" s="1"/>
  <c r="G117" i="2"/>
  <c r="G118" i="2"/>
  <c r="G119" i="2"/>
  <c r="G120" i="2"/>
  <c r="D111" i="2"/>
  <c r="D112" i="2"/>
  <c r="D113" i="2"/>
  <c r="D114" i="2"/>
  <c r="D115" i="2"/>
  <c r="E115" i="2" s="1"/>
  <c r="D116" i="2"/>
  <c r="E116" i="2" s="1"/>
  <c r="D117" i="2"/>
  <c r="D118" i="2"/>
  <c r="D119" i="2"/>
  <c r="D120" i="2"/>
  <c r="E120" i="2" s="1"/>
  <c r="A111" i="2"/>
  <c r="A112" i="2"/>
  <c r="A113" i="2"/>
  <c r="A114" i="2"/>
  <c r="A115" i="2"/>
  <c r="A116" i="2"/>
  <c r="A117" i="2"/>
  <c r="A118" i="2"/>
  <c r="A119" i="2"/>
  <c r="A120" i="2"/>
  <c r="M96" i="2"/>
  <c r="M97" i="2"/>
  <c r="M98" i="2"/>
  <c r="M99" i="2"/>
  <c r="N99" i="2" s="1"/>
  <c r="M100" i="2"/>
  <c r="N100" i="2" s="1"/>
  <c r="M101" i="2"/>
  <c r="M102" i="2"/>
  <c r="M103" i="2"/>
  <c r="M104" i="2"/>
  <c r="M105" i="2"/>
  <c r="J96" i="2"/>
  <c r="K96" i="2" s="1"/>
  <c r="J97" i="2"/>
  <c r="J98" i="2"/>
  <c r="J99" i="2"/>
  <c r="K99" i="2" s="1"/>
  <c r="J100" i="2"/>
  <c r="J101" i="2"/>
  <c r="J102" i="2"/>
  <c r="J103" i="2"/>
  <c r="J104" i="2"/>
  <c r="K104" i="2" s="1"/>
  <c r="J105" i="2"/>
  <c r="G96" i="2"/>
  <c r="G97" i="2"/>
  <c r="G98" i="2"/>
  <c r="G99" i="2"/>
  <c r="G100" i="2"/>
  <c r="H100" i="2" s="1"/>
  <c r="G101" i="2"/>
  <c r="G102" i="2"/>
  <c r="G103" i="2"/>
  <c r="G104" i="2"/>
  <c r="H104" i="2" s="1"/>
  <c r="G105" i="2"/>
  <c r="H105" i="2" s="1"/>
  <c r="D96" i="2"/>
  <c r="D97" i="2"/>
  <c r="D98" i="2"/>
  <c r="D99" i="2"/>
  <c r="D100" i="2"/>
  <c r="D101" i="2"/>
  <c r="D102" i="2"/>
  <c r="D103" i="2"/>
  <c r="E103" i="2" s="1"/>
  <c r="D104" i="2"/>
  <c r="E104" i="2" s="1"/>
  <c r="D105" i="2"/>
  <c r="E105" i="2" s="1"/>
  <c r="A96" i="2"/>
  <c r="A97" i="2"/>
  <c r="A98" i="2"/>
  <c r="A99" i="2"/>
  <c r="B99" i="2" s="1"/>
  <c r="A100" i="2"/>
  <c r="A101" i="2"/>
  <c r="A102" i="2"/>
  <c r="A103" i="2"/>
  <c r="A104" i="2"/>
  <c r="A105" i="2"/>
  <c r="B105" i="2" s="1"/>
  <c r="M81" i="2"/>
  <c r="N81" i="2" s="1"/>
  <c r="M82" i="2"/>
  <c r="M83" i="2"/>
  <c r="N83" i="2" s="1"/>
  <c r="M84" i="2"/>
  <c r="N84" i="2" s="1"/>
  <c r="M85" i="2"/>
  <c r="M86" i="2"/>
  <c r="M87" i="2"/>
  <c r="M88" i="2"/>
  <c r="N88" i="2" s="1"/>
  <c r="M89" i="2"/>
  <c r="N89" i="2" s="1"/>
  <c r="M90" i="2"/>
  <c r="J81" i="2"/>
  <c r="K81" i="2" s="1"/>
  <c r="J82" i="2"/>
  <c r="K82" i="2" s="1"/>
  <c r="J83" i="2"/>
  <c r="J84" i="2"/>
  <c r="J85" i="2"/>
  <c r="J86" i="2"/>
  <c r="K86" i="2" s="1"/>
  <c r="J87" i="2"/>
  <c r="J88" i="2"/>
  <c r="J89" i="2"/>
  <c r="J90" i="2"/>
  <c r="G81" i="2"/>
  <c r="G82" i="2"/>
  <c r="G83" i="2"/>
  <c r="H83" i="2" s="1"/>
  <c r="G84" i="2"/>
  <c r="G85" i="2"/>
  <c r="G86" i="2"/>
  <c r="G87" i="2"/>
  <c r="G88" i="2"/>
  <c r="G89" i="2"/>
  <c r="G90" i="2"/>
  <c r="D81" i="2"/>
  <c r="E81" i="2" s="1"/>
  <c r="D82" i="2"/>
  <c r="D83" i="2"/>
  <c r="D84" i="2"/>
  <c r="D85" i="2"/>
  <c r="D86" i="2"/>
  <c r="D87" i="2"/>
  <c r="D88" i="2"/>
  <c r="D89" i="2"/>
  <c r="D90" i="2"/>
  <c r="A81" i="2"/>
  <c r="A82" i="2"/>
  <c r="A83" i="2"/>
  <c r="A84" i="2"/>
  <c r="A85" i="2"/>
  <c r="A86" i="2"/>
  <c r="A87" i="2"/>
  <c r="A88" i="2"/>
  <c r="B88" i="2" s="1"/>
  <c r="A89" i="2"/>
  <c r="A90" i="2"/>
  <c r="B90" i="2" s="1"/>
  <c r="M66" i="2"/>
  <c r="M67" i="2"/>
  <c r="M68" i="2"/>
  <c r="M69" i="2"/>
  <c r="M70" i="2"/>
  <c r="M71" i="2"/>
  <c r="M72" i="2"/>
  <c r="M73" i="2"/>
  <c r="M74" i="2"/>
  <c r="M75" i="2"/>
  <c r="J66" i="2"/>
  <c r="J67" i="2"/>
  <c r="K67" i="2" s="1"/>
  <c r="J68" i="2"/>
  <c r="J69" i="2"/>
  <c r="J70" i="2"/>
  <c r="J71" i="2"/>
  <c r="J72" i="2"/>
  <c r="J73" i="2"/>
  <c r="J74" i="2"/>
  <c r="K74" i="2" s="1"/>
  <c r="J75" i="2"/>
  <c r="G66" i="2"/>
  <c r="G67" i="2"/>
  <c r="G68" i="2"/>
  <c r="H68" i="2" s="1"/>
  <c r="G69" i="2"/>
  <c r="G70" i="2"/>
  <c r="G71" i="2"/>
  <c r="G72" i="2"/>
  <c r="G73" i="2"/>
  <c r="G74" i="2"/>
  <c r="H74" i="2" s="1"/>
  <c r="G75" i="2"/>
  <c r="D66" i="2"/>
  <c r="D67" i="2"/>
  <c r="D68" i="2"/>
  <c r="D69" i="2"/>
  <c r="D70" i="2"/>
  <c r="D71" i="2"/>
  <c r="D72" i="2"/>
  <c r="D73" i="2"/>
  <c r="D74" i="2"/>
  <c r="D75" i="2"/>
  <c r="A66" i="2"/>
  <c r="B66" i="2" s="1"/>
  <c r="A67" i="2"/>
  <c r="B67" i="2" s="1"/>
  <c r="A68" i="2"/>
  <c r="A69" i="2"/>
  <c r="A70" i="2"/>
  <c r="A71" i="2"/>
  <c r="A72" i="2"/>
  <c r="A73" i="2"/>
  <c r="A74" i="2"/>
  <c r="B74" i="2" s="1"/>
  <c r="A75" i="2"/>
  <c r="M51" i="2"/>
  <c r="M52" i="2"/>
  <c r="M53" i="2"/>
  <c r="M54" i="2"/>
  <c r="M55" i="2"/>
  <c r="M56" i="2"/>
  <c r="M57" i="2"/>
  <c r="M58" i="2"/>
  <c r="M59" i="2"/>
  <c r="M60" i="2"/>
  <c r="N60" i="2" s="1"/>
  <c r="J51" i="2"/>
  <c r="J52" i="2"/>
  <c r="J53" i="2"/>
  <c r="J54" i="2"/>
  <c r="K54" i="2" s="1"/>
  <c r="J55" i="2"/>
  <c r="K55" i="2" s="1"/>
  <c r="J56" i="2"/>
  <c r="J57" i="2"/>
  <c r="J58" i="2"/>
  <c r="J59" i="2"/>
  <c r="J60" i="2"/>
  <c r="K60" i="2" s="1"/>
  <c r="G51" i="2"/>
  <c r="G52" i="2"/>
  <c r="H52" i="2" s="1"/>
  <c r="G53" i="2"/>
  <c r="H53" i="2" s="1"/>
  <c r="G54" i="2"/>
  <c r="G55" i="2"/>
  <c r="H55" i="2" s="1"/>
  <c r="G56" i="2"/>
  <c r="G57" i="2"/>
  <c r="G58" i="2"/>
  <c r="G59" i="2"/>
  <c r="G60" i="2"/>
  <c r="H60" i="2" s="1"/>
  <c r="D51" i="2"/>
  <c r="D52" i="2"/>
  <c r="D53" i="2"/>
  <c r="D54" i="2"/>
  <c r="D55" i="2"/>
  <c r="E55" i="2" s="1"/>
  <c r="D56" i="2"/>
  <c r="E56" i="2" s="1"/>
  <c r="D57" i="2"/>
  <c r="D58" i="2"/>
  <c r="D59" i="2"/>
  <c r="D60" i="2"/>
  <c r="E60" i="2" s="1"/>
  <c r="A51" i="2"/>
  <c r="A52" i="2"/>
  <c r="A53" i="2"/>
  <c r="B53" i="2" s="1"/>
  <c r="A54" i="2"/>
  <c r="A55" i="2"/>
  <c r="B55" i="2" s="1"/>
  <c r="A56" i="2"/>
  <c r="A57" i="2"/>
  <c r="A58" i="2"/>
  <c r="A59" i="2"/>
  <c r="A60" i="2"/>
  <c r="J36" i="2"/>
  <c r="J37" i="2"/>
  <c r="J38" i="2"/>
  <c r="K38" i="2" s="1"/>
  <c r="J39" i="2"/>
  <c r="J40" i="2"/>
  <c r="J41" i="2"/>
  <c r="J42" i="2"/>
  <c r="J43" i="2"/>
  <c r="J44" i="2"/>
  <c r="J45" i="2"/>
  <c r="G36" i="2"/>
  <c r="G37" i="2"/>
  <c r="G38" i="2"/>
  <c r="G39" i="2"/>
  <c r="G40" i="2"/>
  <c r="G41" i="2"/>
  <c r="G42" i="2"/>
  <c r="G43" i="2"/>
  <c r="G44" i="2"/>
  <c r="G45" i="2"/>
  <c r="H45" i="2" s="1"/>
  <c r="D36" i="2"/>
  <c r="D37" i="2"/>
  <c r="E37" i="2" s="1"/>
  <c r="D38" i="2"/>
  <c r="D39" i="2"/>
  <c r="D40" i="2"/>
  <c r="E40" i="2" s="1"/>
  <c r="D41" i="2"/>
  <c r="D42" i="2"/>
  <c r="D43" i="2"/>
  <c r="D44" i="2"/>
  <c r="E44" i="2" s="1"/>
  <c r="D45" i="2"/>
  <c r="M36" i="2"/>
  <c r="M37" i="2"/>
  <c r="M38" i="2"/>
  <c r="M39" i="2"/>
  <c r="M40" i="2"/>
  <c r="M41" i="2"/>
  <c r="M42" i="2"/>
  <c r="M43" i="2"/>
  <c r="M44" i="2"/>
  <c r="M45" i="2"/>
  <c r="N45" i="2" s="1"/>
  <c r="A36" i="2"/>
  <c r="B36" i="2" s="1"/>
  <c r="A37" i="2"/>
  <c r="A38" i="2"/>
  <c r="A39" i="2"/>
  <c r="B39" i="2" s="1"/>
  <c r="A40" i="2"/>
  <c r="A41" i="2"/>
  <c r="B41" i="2" s="1"/>
  <c r="A42" i="2"/>
  <c r="A43" i="2"/>
  <c r="B43" i="2" s="1"/>
  <c r="A44" i="2"/>
  <c r="A45" i="2"/>
  <c r="B45" i="2" s="1"/>
  <c r="B44" i="2"/>
  <c r="M21" i="2"/>
  <c r="M22" i="2"/>
  <c r="M23" i="2"/>
  <c r="M24" i="2"/>
  <c r="N24" i="2" s="1"/>
  <c r="M25" i="2"/>
  <c r="M26" i="2"/>
  <c r="M27" i="2"/>
  <c r="M28" i="2"/>
  <c r="M29" i="2"/>
  <c r="M30" i="2"/>
  <c r="J21" i="2"/>
  <c r="J22" i="2"/>
  <c r="J23" i="2"/>
  <c r="K23" i="2" s="1"/>
  <c r="J24" i="2"/>
  <c r="K24" i="2" s="1"/>
  <c r="J25" i="2"/>
  <c r="J26" i="2"/>
  <c r="K26" i="2" s="1"/>
  <c r="J27" i="2"/>
  <c r="J28" i="2"/>
  <c r="J29" i="2"/>
  <c r="K29" i="2" s="1"/>
  <c r="J30" i="2"/>
  <c r="G21" i="2"/>
  <c r="G22" i="2"/>
  <c r="G23" i="2"/>
  <c r="G24" i="2"/>
  <c r="G25" i="2"/>
  <c r="G26" i="2"/>
  <c r="H26" i="2" s="1"/>
  <c r="G27" i="2"/>
  <c r="G28" i="2"/>
  <c r="G29" i="2"/>
  <c r="G30" i="2"/>
  <c r="D21" i="2"/>
  <c r="D22" i="2"/>
  <c r="D23" i="2"/>
  <c r="D24" i="2"/>
  <c r="D25" i="2"/>
  <c r="D26" i="2"/>
  <c r="D27" i="2"/>
  <c r="D28" i="2"/>
  <c r="D29" i="2"/>
  <c r="E29" i="2" s="1"/>
  <c r="D30" i="2"/>
  <c r="A21" i="2"/>
  <c r="B21" i="2" s="1"/>
  <c r="A22" i="2"/>
  <c r="B22" i="2" s="1"/>
  <c r="A23" i="2"/>
  <c r="B23" i="2" s="1"/>
  <c r="A24" i="2"/>
  <c r="A25" i="2"/>
  <c r="A26" i="2"/>
  <c r="B26" i="2" s="1"/>
  <c r="A27" i="2"/>
  <c r="A28" i="2"/>
  <c r="A29" i="2"/>
  <c r="A30" i="2"/>
  <c r="AF165" i="2"/>
  <c r="AC165" i="2"/>
  <c r="Z165" i="2"/>
  <c r="W165" i="2"/>
  <c r="T165" i="2"/>
  <c r="AF164" i="2"/>
  <c r="AC164" i="2"/>
  <c r="Z164" i="2"/>
  <c r="W164" i="2"/>
  <c r="T164" i="2"/>
  <c r="AF163" i="2"/>
  <c r="AC163" i="2"/>
  <c r="Z163" i="2"/>
  <c r="W163" i="2"/>
  <c r="T163" i="2"/>
  <c r="AF162" i="2"/>
  <c r="AC162" i="2"/>
  <c r="Z162" i="2"/>
  <c r="W162" i="2"/>
  <c r="T162" i="2"/>
  <c r="AF161" i="2"/>
  <c r="AC161" i="2"/>
  <c r="Z161" i="2"/>
  <c r="T161" i="2"/>
  <c r="AF160" i="2"/>
  <c r="AC160" i="2"/>
  <c r="Z160" i="2"/>
  <c r="W160" i="2"/>
  <c r="T160" i="2"/>
  <c r="AF159" i="2"/>
  <c r="AC159" i="2"/>
  <c r="Z159" i="2"/>
  <c r="W159" i="2"/>
  <c r="T159" i="2"/>
  <c r="AF158" i="2"/>
  <c r="AC158" i="2"/>
  <c r="Z158" i="2"/>
  <c r="W158" i="2"/>
  <c r="T158" i="2"/>
  <c r="AF157" i="2"/>
  <c r="AC157" i="2"/>
  <c r="Z157" i="2"/>
  <c r="W157" i="2"/>
  <c r="T157" i="2"/>
  <c r="AF156" i="2"/>
  <c r="AF166" i="2" s="1"/>
  <c r="AC156" i="2"/>
  <c r="AC166" i="2" s="1"/>
  <c r="Z156" i="2"/>
  <c r="W156" i="2"/>
  <c r="W166" i="2" s="1"/>
  <c r="T156" i="2"/>
  <c r="AF150" i="2"/>
  <c r="AC150" i="2"/>
  <c r="AF149" i="2"/>
  <c r="AC149" i="2"/>
  <c r="Z149" i="2"/>
  <c r="W149" i="2"/>
  <c r="AF148" i="2"/>
  <c r="AC148" i="2"/>
  <c r="Z148" i="2"/>
  <c r="W148" i="2"/>
  <c r="T148" i="2"/>
  <c r="AF147" i="2"/>
  <c r="AC147" i="2"/>
  <c r="Z147" i="2"/>
  <c r="W147" i="2"/>
  <c r="T147" i="2"/>
  <c r="AF146" i="2"/>
  <c r="AC146" i="2"/>
  <c r="Z146" i="2"/>
  <c r="W146" i="2"/>
  <c r="T146" i="2"/>
  <c r="AF145" i="2"/>
  <c r="AC145" i="2"/>
  <c r="Z145" i="2"/>
  <c r="W145" i="2"/>
  <c r="T145" i="2"/>
  <c r="AF144" i="2"/>
  <c r="AC144" i="2"/>
  <c r="Z144" i="2"/>
  <c r="AC143" i="2"/>
  <c r="W143" i="2"/>
  <c r="T143" i="2"/>
  <c r="AF142" i="2"/>
  <c r="AC142" i="2"/>
  <c r="W142" i="2"/>
  <c r="T142" i="2"/>
  <c r="AF141" i="2"/>
  <c r="AC141" i="2"/>
  <c r="AC151" i="2" s="1"/>
  <c r="Z141" i="2"/>
  <c r="W141" i="2"/>
  <c r="T141" i="2"/>
  <c r="AF135" i="2"/>
  <c r="Z135" i="2"/>
  <c r="W135" i="2"/>
  <c r="AF134" i="2"/>
  <c r="AC134" i="2"/>
  <c r="W134" i="2"/>
  <c r="AF133" i="2"/>
  <c r="AC133" i="2"/>
  <c r="Z133" i="2"/>
  <c r="W133" i="2"/>
  <c r="T133" i="2"/>
  <c r="AF132" i="2"/>
  <c r="AC132" i="2"/>
  <c r="Z132" i="2"/>
  <c r="W132" i="2"/>
  <c r="T132" i="2"/>
  <c r="AF131" i="2"/>
  <c r="AC131" i="2"/>
  <c r="Z131" i="2"/>
  <c r="W131" i="2"/>
  <c r="T131" i="2"/>
  <c r="AF130" i="2"/>
  <c r="Z130" i="2"/>
  <c r="W130" i="2"/>
  <c r="T130" i="2"/>
  <c r="AF129" i="2"/>
  <c r="AC129" i="2"/>
  <c r="W129" i="2"/>
  <c r="T129" i="2"/>
  <c r="AF128" i="2"/>
  <c r="W128" i="2"/>
  <c r="T128" i="2"/>
  <c r="AF127" i="2"/>
  <c r="AC127" i="2"/>
  <c r="Z127" i="2"/>
  <c r="W127" i="2"/>
  <c r="T127" i="2"/>
  <c r="AF126" i="2"/>
  <c r="AC126" i="2"/>
  <c r="Z126" i="2"/>
  <c r="W126" i="2"/>
  <c r="T126" i="2"/>
  <c r="AF120" i="2"/>
  <c r="Z120" i="2"/>
  <c r="W120" i="2"/>
  <c r="T120" i="2"/>
  <c r="AF119" i="2"/>
  <c r="AC119" i="2"/>
  <c r="Z119" i="2"/>
  <c r="W119" i="2"/>
  <c r="T119" i="2"/>
  <c r="AF118" i="2"/>
  <c r="AC118" i="2"/>
  <c r="Z118" i="2"/>
  <c r="W118" i="2"/>
  <c r="T118" i="2"/>
  <c r="AF117" i="2"/>
  <c r="AC117" i="2"/>
  <c r="Z117" i="2"/>
  <c r="W117" i="2"/>
  <c r="T117" i="2"/>
  <c r="AF116" i="2"/>
  <c r="AC116" i="2"/>
  <c r="Z116" i="2"/>
  <c r="W116" i="2"/>
  <c r="T116" i="2"/>
  <c r="AF115" i="2"/>
  <c r="AC115" i="2"/>
  <c r="Z115" i="2"/>
  <c r="W115" i="2"/>
  <c r="T115" i="2"/>
  <c r="Z114" i="2"/>
  <c r="W114" i="2"/>
  <c r="T114" i="2"/>
  <c r="AF113" i="2"/>
  <c r="Z113" i="2"/>
  <c r="T113" i="2"/>
  <c r="AF112" i="2"/>
  <c r="AC112" i="2"/>
  <c r="Z112" i="2"/>
  <c r="W112" i="2"/>
  <c r="T112" i="2"/>
  <c r="AC111" i="2"/>
  <c r="Z111" i="2"/>
  <c r="Z121" i="2" s="1"/>
  <c r="W111" i="2"/>
  <c r="AF105" i="2"/>
  <c r="AC105" i="2"/>
  <c r="Z105" i="2"/>
  <c r="T105" i="2"/>
  <c r="AF104" i="2"/>
  <c r="AC104" i="2"/>
  <c r="W104" i="2"/>
  <c r="AF103" i="2"/>
  <c r="AC103" i="2"/>
  <c r="Z103" i="2"/>
  <c r="W103" i="2"/>
  <c r="T103" i="2"/>
  <c r="AF102" i="2"/>
  <c r="AC102" i="2"/>
  <c r="Z102" i="2"/>
  <c r="W102" i="2"/>
  <c r="T102" i="2"/>
  <c r="AF101" i="2"/>
  <c r="AC101" i="2"/>
  <c r="Z101" i="2"/>
  <c r="T101" i="2"/>
  <c r="Z100" i="2"/>
  <c r="T100" i="2"/>
  <c r="AF99" i="2"/>
  <c r="AC99" i="2"/>
  <c r="Z99" i="2"/>
  <c r="T99" i="2"/>
  <c r="AC98" i="2"/>
  <c r="Z98" i="2"/>
  <c r="W98" i="2"/>
  <c r="T98" i="2"/>
  <c r="AC97" i="2"/>
  <c r="Z97" i="2"/>
  <c r="W97" i="2"/>
  <c r="T97" i="2"/>
  <c r="Z96" i="2"/>
  <c r="W96" i="2"/>
  <c r="T96" i="2"/>
  <c r="AF90" i="2"/>
  <c r="Z90" i="2"/>
  <c r="W90" i="2"/>
  <c r="T90" i="2"/>
  <c r="AF89" i="2"/>
  <c r="Z89" i="2"/>
  <c r="W89" i="2"/>
  <c r="T89" i="2"/>
  <c r="AF88" i="2"/>
  <c r="AC88" i="2"/>
  <c r="Z88" i="2"/>
  <c r="W88" i="2"/>
  <c r="T88" i="2"/>
  <c r="AF87" i="2"/>
  <c r="AC87" i="2"/>
  <c r="Z87" i="2"/>
  <c r="W87" i="2"/>
  <c r="T87" i="2"/>
  <c r="AF86" i="2"/>
  <c r="AC86" i="2"/>
  <c r="W86" i="2"/>
  <c r="T86" i="2"/>
  <c r="AC85" i="2"/>
  <c r="Z85" i="2"/>
  <c r="W85" i="2"/>
  <c r="T85" i="2"/>
  <c r="AF84" i="2"/>
  <c r="W84" i="2"/>
  <c r="T84" i="2"/>
  <c r="AC83" i="2"/>
  <c r="Z83" i="2"/>
  <c r="W83" i="2"/>
  <c r="T83" i="2"/>
  <c r="T91" i="2" s="1"/>
  <c r="AF82" i="2"/>
  <c r="W82" i="2"/>
  <c r="T82" i="2"/>
  <c r="AF81" i="2"/>
  <c r="Z81" i="2"/>
  <c r="W81" i="2"/>
  <c r="T81" i="2"/>
  <c r="AF75" i="2"/>
  <c r="AC75" i="2"/>
  <c r="Z75" i="2"/>
  <c r="W75" i="2"/>
  <c r="T75" i="2"/>
  <c r="AC74" i="2"/>
  <c r="Z74" i="2"/>
  <c r="W74" i="2"/>
  <c r="AF73" i="2"/>
  <c r="AC73" i="2"/>
  <c r="Z73" i="2"/>
  <c r="W73" i="2"/>
  <c r="AF72" i="2"/>
  <c r="AC72" i="2"/>
  <c r="Z72" i="2"/>
  <c r="W72" i="2"/>
  <c r="T72" i="2"/>
  <c r="AF71" i="2"/>
  <c r="Z71" i="2"/>
  <c r="T71" i="2"/>
  <c r="AF70" i="2"/>
  <c r="Z70" i="2"/>
  <c r="T70" i="2"/>
  <c r="AF69" i="2"/>
  <c r="AC69" i="2"/>
  <c r="Z69" i="2"/>
  <c r="T69" i="2"/>
  <c r="AF68" i="2"/>
  <c r="Z68" i="2"/>
  <c r="W68" i="2"/>
  <c r="T68" i="2"/>
  <c r="AF67" i="2"/>
  <c r="W67" i="2"/>
  <c r="T67" i="2"/>
  <c r="AF66" i="2"/>
  <c r="AC66" i="2"/>
  <c r="Z66" i="2"/>
  <c r="W66" i="2"/>
  <c r="T66" i="2"/>
  <c r="T76" i="2" s="1"/>
  <c r="AC60" i="2"/>
  <c r="Z60" i="2"/>
  <c r="W60" i="2"/>
  <c r="AF59" i="2"/>
  <c r="AC59" i="2"/>
  <c r="Z59" i="2"/>
  <c r="W59" i="2"/>
  <c r="T59" i="2"/>
  <c r="AF58" i="2"/>
  <c r="Z58" i="2"/>
  <c r="T58" i="2"/>
  <c r="AF57" i="2"/>
  <c r="AC57" i="2"/>
  <c r="Z57" i="2"/>
  <c r="W57" i="2"/>
  <c r="T57" i="2"/>
  <c r="AF56" i="2"/>
  <c r="Z56" i="2"/>
  <c r="W56" i="2"/>
  <c r="T56" i="2"/>
  <c r="AF55" i="2"/>
  <c r="Z55" i="2"/>
  <c r="W55" i="2"/>
  <c r="T55" i="2"/>
  <c r="Z54" i="2"/>
  <c r="W54" i="2"/>
  <c r="T54" i="2"/>
  <c r="AF53" i="2"/>
  <c r="Z53" i="2"/>
  <c r="Z61" i="2" s="1"/>
  <c r="W53" i="2"/>
  <c r="T53" i="2"/>
  <c r="AF52" i="2"/>
  <c r="AC52" i="2"/>
  <c r="Z52" i="2"/>
  <c r="W52" i="2"/>
  <c r="AF51" i="2"/>
  <c r="Z51" i="2"/>
  <c r="W51" i="2"/>
  <c r="T51" i="2"/>
  <c r="AC45" i="2"/>
  <c r="W45" i="2"/>
  <c r="T45" i="2"/>
  <c r="AF44" i="2"/>
  <c r="AC44" i="2"/>
  <c r="W44" i="2"/>
  <c r="AF43" i="2"/>
  <c r="AC43" i="2"/>
  <c r="Z43" i="2"/>
  <c r="W43" i="2"/>
  <c r="T43" i="2"/>
  <c r="AF42" i="2"/>
  <c r="AC42" i="2"/>
  <c r="Z42" i="2"/>
  <c r="W42" i="2"/>
  <c r="T42" i="2"/>
  <c r="AF41" i="2"/>
  <c r="AC41" i="2"/>
  <c r="Z41" i="2"/>
  <c r="W41" i="2"/>
  <c r="T41" i="2"/>
  <c r="AF40" i="2"/>
  <c r="AC40" i="2"/>
  <c r="W40" i="2"/>
  <c r="T40" i="2"/>
  <c r="AF39" i="2"/>
  <c r="AC39" i="2"/>
  <c r="Z39" i="2"/>
  <c r="W39" i="2"/>
  <c r="AF38" i="2"/>
  <c r="AC38" i="2"/>
  <c r="Z38" i="2"/>
  <c r="AF37" i="2"/>
  <c r="AC37" i="2"/>
  <c r="Z37" i="2"/>
  <c r="T37" i="2"/>
  <c r="AF36" i="2"/>
  <c r="AC36" i="2"/>
  <c r="W36" i="2"/>
  <c r="T36" i="2"/>
  <c r="AF30" i="2"/>
  <c r="AC29" i="2"/>
  <c r="Z29" i="2"/>
  <c r="W29" i="2"/>
  <c r="T29" i="2"/>
  <c r="AF28" i="2"/>
  <c r="AC28" i="2"/>
  <c r="Z28" i="2"/>
  <c r="W28" i="2"/>
  <c r="AF27" i="2"/>
  <c r="AC27" i="2"/>
  <c r="Z27" i="2"/>
  <c r="W27" i="2"/>
  <c r="AF26" i="2"/>
  <c r="AC26" i="2"/>
  <c r="Z26" i="2"/>
  <c r="W26" i="2"/>
  <c r="T26" i="2"/>
  <c r="AF25" i="2"/>
  <c r="AC25" i="2"/>
  <c r="Z25" i="2"/>
  <c r="W25" i="2"/>
  <c r="T25" i="2"/>
  <c r="AF24" i="2"/>
  <c r="Z24" i="2"/>
  <c r="W24" i="2"/>
  <c r="T24" i="2"/>
  <c r="T23" i="2"/>
  <c r="AF22" i="2"/>
  <c r="AC22" i="2"/>
  <c r="Z22" i="2"/>
  <c r="T22" i="2"/>
  <c r="AF21" i="2"/>
  <c r="Z21" i="2"/>
  <c r="W21" i="2"/>
  <c r="T21" i="2"/>
  <c r="N165" i="2"/>
  <c r="K165" i="2"/>
  <c r="H165" i="2"/>
  <c r="N164" i="2"/>
  <c r="K164" i="2"/>
  <c r="H164" i="2"/>
  <c r="E164" i="2"/>
  <c r="B164" i="2"/>
  <c r="N163" i="2"/>
  <c r="K163" i="2"/>
  <c r="E163" i="2"/>
  <c r="B163" i="2"/>
  <c r="N162" i="2"/>
  <c r="H162" i="2"/>
  <c r="E162" i="2"/>
  <c r="B162" i="2"/>
  <c r="K161" i="2"/>
  <c r="H161" i="2"/>
  <c r="E161" i="2"/>
  <c r="B161" i="2"/>
  <c r="N160" i="2"/>
  <c r="H160" i="2"/>
  <c r="B160" i="2"/>
  <c r="N159" i="2"/>
  <c r="K159" i="2"/>
  <c r="E159" i="2"/>
  <c r="N158" i="2"/>
  <c r="K158" i="2"/>
  <c r="H158" i="2"/>
  <c r="E158" i="2"/>
  <c r="B158" i="2"/>
  <c r="E157" i="2"/>
  <c r="N156" i="2"/>
  <c r="K156" i="2"/>
  <c r="H156" i="2"/>
  <c r="N150" i="2"/>
  <c r="K150" i="2"/>
  <c r="H150" i="2"/>
  <c r="E150" i="2"/>
  <c r="B150" i="2"/>
  <c r="N149" i="2"/>
  <c r="K149" i="2"/>
  <c r="H149" i="2"/>
  <c r="B149" i="2"/>
  <c r="N148" i="2"/>
  <c r="K148" i="2"/>
  <c r="E148" i="2"/>
  <c r="B148" i="2"/>
  <c r="N147" i="2"/>
  <c r="K147" i="2"/>
  <c r="H147" i="2"/>
  <c r="E147" i="2"/>
  <c r="B147" i="2"/>
  <c r="N146" i="2"/>
  <c r="H146" i="2"/>
  <c r="N145" i="2"/>
  <c r="H145" i="2"/>
  <c r="E145" i="2"/>
  <c r="B145" i="2"/>
  <c r="N144" i="2"/>
  <c r="E144" i="2"/>
  <c r="N143" i="2"/>
  <c r="K143" i="2"/>
  <c r="H143" i="2"/>
  <c r="E143" i="2"/>
  <c r="N142" i="2"/>
  <c r="K142" i="2"/>
  <c r="E142" i="2"/>
  <c r="B142" i="2"/>
  <c r="N141" i="2"/>
  <c r="K141" i="2"/>
  <c r="H141" i="2"/>
  <c r="E141" i="2"/>
  <c r="B141" i="2"/>
  <c r="N135" i="2"/>
  <c r="K135" i="2"/>
  <c r="H135" i="2"/>
  <c r="E135" i="2"/>
  <c r="K134" i="2"/>
  <c r="H134" i="2"/>
  <c r="E134" i="2"/>
  <c r="B134" i="2"/>
  <c r="K133" i="2"/>
  <c r="H133" i="2"/>
  <c r="E133" i="2"/>
  <c r="B133" i="2"/>
  <c r="N132" i="2"/>
  <c r="K132" i="2"/>
  <c r="E132" i="2"/>
  <c r="B132" i="2"/>
  <c r="N131" i="2"/>
  <c r="B131" i="2"/>
  <c r="H130" i="2"/>
  <c r="B130" i="2"/>
  <c r="N129" i="2"/>
  <c r="H129" i="2"/>
  <c r="E129" i="2"/>
  <c r="N128" i="2"/>
  <c r="K128" i="2"/>
  <c r="B128" i="2"/>
  <c r="N127" i="2"/>
  <c r="K127" i="2"/>
  <c r="H127" i="2"/>
  <c r="E127" i="2"/>
  <c r="B127" i="2"/>
  <c r="N126" i="2"/>
  <c r="K126" i="2"/>
  <c r="H126" i="2"/>
  <c r="H120" i="2"/>
  <c r="B120" i="2"/>
  <c r="K119" i="2"/>
  <c r="H119" i="2"/>
  <c r="E119" i="2"/>
  <c r="B119" i="2"/>
  <c r="N118" i="2"/>
  <c r="K118" i="2"/>
  <c r="H118" i="2"/>
  <c r="E118" i="2"/>
  <c r="B118" i="2"/>
  <c r="N117" i="2"/>
  <c r="K117" i="2"/>
  <c r="H117" i="2"/>
  <c r="E117" i="2"/>
  <c r="B117" i="2"/>
  <c r="N116" i="2"/>
  <c r="K116" i="2"/>
  <c r="B116" i="2"/>
  <c r="K115" i="2"/>
  <c r="B115" i="2"/>
  <c r="K114" i="2"/>
  <c r="H114" i="2"/>
  <c r="E114" i="2"/>
  <c r="B114" i="2"/>
  <c r="N113" i="2"/>
  <c r="K113" i="2"/>
  <c r="H113" i="2"/>
  <c r="E113" i="2"/>
  <c r="B113" i="2"/>
  <c r="K112" i="2"/>
  <c r="E112" i="2"/>
  <c r="B112" i="2"/>
  <c r="N111" i="2"/>
  <c r="K111" i="2"/>
  <c r="H111" i="2"/>
  <c r="E111" i="2"/>
  <c r="B111" i="2"/>
  <c r="N105" i="2"/>
  <c r="K105" i="2"/>
  <c r="N104" i="2"/>
  <c r="B104" i="2"/>
  <c r="N103" i="2"/>
  <c r="K103" i="2"/>
  <c r="H103" i="2"/>
  <c r="B103" i="2"/>
  <c r="N102" i="2"/>
  <c r="K102" i="2"/>
  <c r="H102" i="2"/>
  <c r="E102" i="2"/>
  <c r="B102" i="2"/>
  <c r="N101" i="2"/>
  <c r="K101" i="2"/>
  <c r="H101" i="2"/>
  <c r="E101" i="2"/>
  <c r="B101" i="2"/>
  <c r="K100" i="2"/>
  <c r="E100" i="2"/>
  <c r="B100" i="2"/>
  <c r="H99" i="2"/>
  <c r="E99" i="2"/>
  <c r="N98" i="2"/>
  <c r="K98" i="2"/>
  <c r="H98" i="2"/>
  <c r="E98" i="2"/>
  <c r="B98" i="2"/>
  <c r="N97" i="2"/>
  <c r="K97" i="2"/>
  <c r="H97" i="2"/>
  <c r="E97" i="2"/>
  <c r="B97" i="2"/>
  <c r="N96" i="2"/>
  <c r="H96" i="2"/>
  <c r="E96" i="2"/>
  <c r="B96" i="2"/>
  <c r="N90" i="2"/>
  <c r="K90" i="2"/>
  <c r="H90" i="2"/>
  <c r="E90" i="2"/>
  <c r="K89" i="2"/>
  <c r="H89" i="2"/>
  <c r="E89" i="2"/>
  <c r="B89" i="2"/>
  <c r="K88" i="2"/>
  <c r="H88" i="2"/>
  <c r="E88" i="2"/>
  <c r="N87" i="2"/>
  <c r="K87" i="2"/>
  <c r="H87" i="2"/>
  <c r="E87" i="2"/>
  <c r="B87" i="2"/>
  <c r="N86" i="2"/>
  <c r="H86" i="2"/>
  <c r="E86" i="2"/>
  <c r="B86" i="2"/>
  <c r="N85" i="2"/>
  <c r="K85" i="2"/>
  <c r="H85" i="2"/>
  <c r="E85" i="2"/>
  <c r="B85" i="2"/>
  <c r="K84" i="2"/>
  <c r="H84" i="2"/>
  <c r="E84" i="2"/>
  <c r="B84" i="2"/>
  <c r="K83" i="2"/>
  <c r="E83" i="2"/>
  <c r="B83" i="2"/>
  <c r="N82" i="2"/>
  <c r="H82" i="2"/>
  <c r="E82" i="2"/>
  <c r="B82" i="2"/>
  <c r="H81" i="2"/>
  <c r="B81" i="2"/>
  <c r="N75" i="2"/>
  <c r="K75" i="2"/>
  <c r="H75" i="2"/>
  <c r="E75" i="2"/>
  <c r="B75" i="2"/>
  <c r="N74" i="2"/>
  <c r="E74" i="2"/>
  <c r="N73" i="2"/>
  <c r="K73" i="2"/>
  <c r="H73" i="2"/>
  <c r="E73" i="2"/>
  <c r="B73" i="2"/>
  <c r="N72" i="2"/>
  <c r="K72" i="2"/>
  <c r="H72" i="2"/>
  <c r="E72" i="2"/>
  <c r="B72" i="2"/>
  <c r="N71" i="2"/>
  <c r="K71" i="2"/>
  <c r="H71" i="2"/>
  <c r="E71" i="2"/>
  <c r="B71" i="2"/>
  <c r="N70" i="2"/>
  <c r="K70" i="2"/>
  <c r="H70" i="2"/>
  <c r="E70" i="2"/>
  <c r="B70" i="2"/>
  <c r="N69" i="2"/>
  <c r="K69" i="2"/>
  <c r="H69" i="2"/>
  <c r="E69" i="2"/>
  <c r="B69" i="2"/>
  <c r="N68" i="2"/>
  <c r="K68" i="2"/>
  <c r="E68" i="2"/>
  <c r="B68" i="2"/>
  <c r="N67" i="2"/>
  <c r="H67" i="2"/>
  <c r="E67" i="2"/>
  <c r="N66" i="2"/>
  <c r="K66" i="2"/>
  <c r="H66" i="2"/>
  <c r="E66" i="2"/>
  <c r="B60" i="2"/>
  <c r="N59" i="2"/>
  <c r="K59" i="2"/>
  <c r="H59" i="2"/>
  <c r="E59" i="2"/>
  <c r="B59" i="2"/>
  <c r="N58" i="2"/>
  <c r="K58" i="2"/>
  <c r="H58" i="2"/>
  <c r="E58" i="2"/>
  <c r="B58" i="2"/>
  <c r="N57" i="2"/>
  <c r="K57" i="2"/>
  <c r="H57" i="2"/>
  <c r="E57" i="2"/>
  <c r="B57" i="2"/>
  <c r="N56" i="2"/>
  <c r="K56" i="2"/>
  <c r="H56" i="2"/>
  <c r="B56" i="2"/>
  <c r="N55" i="2"/>
  <c r="N54" i="2"/>
  <c r="H54" i="2"/>
  <c r="E54" i="2"/>
  <c r="B54" i="2"/>
  <c r="N53" i="2"/>
  <c r="K53" i="2"/>
  <c r="E53" i="2"/>
  <c r="N52" i="2"/>
  <c r="K52" i="2"/>
  <c r="E52" i="2"/>
  <c r="B52" i="2"/>
  <c r="N51" i="2"/>
  <c r="K51" i="2"/>
  <c r="H51" i="2"/>
  <c r="E51" i="2"/>
  <c r="B51" i="2"/>
  <c r="K45" i="2"/>
  <c r="E45" i="2"/>
  <c r="N44" i="2"/>
  <c r="K44" i="2"/>
  <c r="H44" i="2"/>
  <c r="N43" i="2"/>
  <c r="K43" i="2"/>
  <c r="H43" i="2"/>
  <c r="E43" i="2"/>
  <c r="N42" i="2"/>
  <c r="K42" i="2"/>
  <c r="H42" i="2"/>
  <c r="E42" i="2"/>
  <c r="B42" i="2"/>
  <c r="N41" i="2"/>
  <c r="K41" i="2"/>
  <c r="H41" i="2"/>
  <c r="E41" i="2"/>
  <c r="N40" i="2"/>
  <c r="K40" i="2"/>
  <c r="H40" i="2"/>
  <c r="B40" i="2"/>
  <c r="N39" i="2"/>
  <c r="K39" i="2"/>
  <c r="H39" i="2"/>
  <c r="E39" i="2"/>
  <c r="N38" i="2"/>
  <c r="H38" i="2"/>
  <c r="E38" i="2"/>
  <c r="B38" i="2"/>
  <c r="N37" i="2"/>
  <c r="K37" i="2"/>
  <c r="H37" i="2"/>
  <c r="B37" i="2"/>
  <c r="N36" i="2"/>
  <c r="K36" i="2"/>
  <c r="H36" i="2"/>
  <c r="E36" i="2"/>
  <c r="N30" i="2"/>
  <c r="K30" i="2"/>
  <c r="H30" i="2"/>
  <c r="E30" i="2"/>
  <c r="B30" i="2"/>
  <c r="N29" i="2"/>
  <c r="H29" i="2"/>
  <c r="B29" i="2"/>
  <c r="N28" i="2"/>
  <c r="K28" i="2"/>
  <c r="H28" i="2"/>
  <c r="E28" i="2"/>
  <c r="B28" i="2"/>
  <c r="N27" i="2"/>
  <c r="K27" i="2"/>
  <c r="H27" i="2"/>
  <c r="E27" i="2"/>
  <c r="B27" i="2"/>
  <c r="N26" i="2"/>
  <c r="E26" i="2"/>
  <c r="N25" i="2"/>
  <c r="K25" i="2"/>
  <c r="H25" i="2"/>
  <c r="E25" i="2"/>
  <c r="B25" i="2"/>
  <c r="H24" i="2"/>
  <c r="E24" i="2"/>
  <c r="B24" i="2"/>
  <c r="N23" i="2"/>
  <c r="H23" i="2"/>
  <c r="E23" i="2"/>
  <c r="N22" i="2"/>
  <c r="K22" i="2"/>
  <c r="H22" i="2"/>
  <c r="E22" i="2"/>
  <c r="N21" i="2"/>
  <c r="K21" i="2"/>
  <c r="H21" i="2"/>
  <c r="E21" i="2"/>
  <c r="J4" i="2"/>
  <c r="J5" i="2"/>
  <c r="K5" i="2" s="1"/>
  <c r="J6" i="2"/>
  <c r="J7" i="2"/>
  <c r="K7" i="2" s="1"/>
  <c r="J8" i="2"/>
  <c r="K8" i="2" s="1"/>
  <c r="J9" i="2"/>
  <c r="J10" i="2"/>
  <c r="J11" i="2"/>
  <c r="K11" i="2" s="1"/>
  <c r="J12" i="2"/>
  <c r="J13" i="2"/>
  <c r="G4" i="2"/>
  <c r="G5" i="2"/>
  <c r="G6" i="2"/>
  <c r="G7" i="2"/>
  <c r="G8" i="2"/>
  <c r="G9" i="2"/>
  <c r="H9" i="2" s="1"/>
  <c r="G10" i="2"/>
  <c r="G11" i="2"/>
  <c r="G12" i="2"/>
  <c r="G13" i="2"/>
  <c r="D4" i="2"/>
  <c r="E4" i="2" s="1"/>
  <c r="D5" i="2"/>
  <c r="D6" i="2"/>
  <c r="E6" i="2" s="1"/>
  <c r="D7" i="2"/>
  <c r="D8" i="2"/>
  <c r="E8" i="2" s="1"/>
  <c r="D9" i="2"/>
  <c r="D10" i="2"/>
  <c r="D11" i="2"/>
  <c r="E11" i="2" s="1"/>
  <c r="D12" i="2"/>
  <c r="D13" i="2"/>
  <c r="A4" i="2"/>
  <c r="B4" i="2" s="1"/>
  <c r="A5" i="2"/>
  <c r="B5" i="2" s="1"/>
  <c r="A6" i="2"/>
  <c r="B6" i="2" s="1"/>
  <c r="A7" i="2"/>
  <c r="A8" i="2"/>
  <c r="B8" i="2" s="1"/>
  <c r="A9" i="2"/>
  <c r="A10" i="2"/>
  <c r="A11" i="2"/>
  <c r="B11" i="2" s="1"/>
  <c r="A12" i="2"/>
  <c r="A13" i="2"/>
  <c r="K13" i="2"/>
  <c r="H13" i="2"/>
  <c r="E13" i="2"/>
  <c r="B13" i="2"/>
  <c r="K12" i="2"/>
  <c r="H12" i="2"/>
  <c r="E12" i="2"/>
  <c r="B12" i="2"/>
  <c r="H11" i="2"/>
  <c r="K10" i="2"/>
  <c r="H10" i="2"/>
  <c r="E10" i="2"/>
  <c r="B10" i="2"/>
  <c r="K9" i="2"/>
  <c r="E9" i="2"/>
  <c r="B9" i="2"/>
  <c r="H8" i="2"/>
  <c r="H7" i="2"/>
  <c r="E7" i="2"/>
  <c r="B7" i="2"/>
  <c r="K6" i="2"/>
  <c r="H6" i="2"/>
  <c r="H5" i="2"/>
  <c r="E5" i="2"/>
  <c r="K4" i="2"/>
  <c r="H4" i="2"/>
  <c r="AX186" i="1"/>
  <c r="AX187" i="1"/>
  <c r="AX188" i="1"/>
  <c r="AX189" i="1"/>
  <c r="AY189" i="1" s="1"/>
  <c r="AX190" i="1"/>
  <c r="AY190" i="1" s="1"/>
  <c r="AX191" i="1"/>
  <c r="AX192" i="1"/>
  <c r="AX193" i="1"/>
  <c r="AX194" i="1"/>
  <c r="AX195" i="1"/>
  <c r="AU186" i="1"/>
  <c r="AU187" i="1"/>
  <c r="AU188" i="1"/>
  <c r="AU189" i="1"/>
  <c r="AU190" i="1"/>
  <c r="AU191" i="1"/>
  <c r="AU192" i="1"/>
  <c r="AU193" i="1"/>
  <c r="AU194" i="1"/>
  <c r="AV194" i="1" s="1"/>
  <c r="AU195" i="1"/>
  <c r="AV195" i="1" s="1"/>
  <c r="AR186" i="1"/>
  <c r="AR187" i="1"/>
  <c r="AS187" i="1" s="1"/>
  <c r="AR188" i="1"/>
  <c r="AS188" i="1" s="1"/>
  <c r="AR189" i="1"/>
  <c r="AR190" i="1"/>
  <c r="AR191" i="1"/>
  <c r="AR192" i="1"/>
  <c r="AR193" i="1"/>
  <c r="AR194" i="1"/>
  <c r="AR195" i="1"/>
  <c r="AO186" i="1"/>
  <c r="AO187" i="1"/>
  <c r="AO188" i="1"/>
  <c r="AO189" i="1"/>
  <c r="AO190" i="1"/>
  <c r="AO191" i="1"/>
  <c r="AO192" i="1"/>
  <c r="AO193" i="1"/>
  <c r="AO194" i="1"/>
  <c r="AO195" i="1"/>
  <c r="AL186" i="1"/>
  <c r="AM186" i="1"/>
  <c r="AL187" i="1"/>
  <c r="AL188" i="1"/>
  <c r="AL189" i="1"/>
  <c r="AL190" i="1"/>
  <c r="AL191" i="1"/>
  <c r="AL192" i="1"/>
  <c r="AL193" i="1"/>
  <c r="AL194" i="1"/>
  <c r="AM194" i="1" s="1"/>
  <c r="AL195" i="1"/>
  <c r="AX171" i="1"/>
  <c r="AX172" i="1"/>
  <c r="AX173" i="1"/>
  <c r="AX174" i="1"/>
  <c r="AY174" i="1" s="1"/>
  <c r="AX175" i="1"/>
  <c r="AX176" i="1"/>
  <c r="AX177" i="1"/>
  <c r="AX178" i="1"/>
  <c r="AX179" i="1"/>
  <c r="AX180" i="1"/>
  <c r="AU171" i="1"/>
  <c r="AU172" i="1"/>
  <c r="AU173" i="1"/>
  <c r="AU174" i="1"/>
  <c r="AU175" i="1"/>
  <c r="AU176" i="1"/>
  <c r="AU177" i="1"/>
  <c r="AU178" i="1"/>
  <c r="AU179" i="1"/>
  <c r="AV179" i="1" s="1"/>
  <c r="AU180" i="1"/>
  <c r="AR171" i="1"/>
  <c r="AR172" i="1"/>
  <c r="AR173" i="1"/>
  <c r="AR174" i="1"/>
  <c r="AR175" i="1"/>
  <c r="AR176" i="1"/>
  <c r="AR177" i="1"/>
  <c r="AR178" i="1"/>
  <c r="AR179" i="1"/>
  <c r="AR180" i="1"/>
  <c r="AS180" i="1" s="1"/>
  <c r="AO171" i="1"/>
  <c r="AO172" i="1"/>
  <c r="AP172" i="1" s="1"/>
  <c r="AO173" i="1"/>
  <c r="AO174" i="1"/>
  <c r="AO175" i="1"/>
  <c r="AO176" i="1"/>
  <c r="AP176" i="1" s="1"/>
  <c r="AO177" i="1"/>
  <c r="AO178" i="1"/>
  <c r="AO179" i="1"/>
  <c r="AO180" i="1"/>
  <c r="AL171" i="1"/>
  <c r="AL172" i="1"/>
  <c r="AL173" i="1"/>
  <c r="AL174" i="1"/>
  <c r="AL175" i="1"/>
  <c r="AL176" i="1"/>
  <c r="AL177" i="1"/>
  <c r="AM177" i="1" s="1"/>
  <c r="AL178" i="1"/>
  <c r="AL179" i="1"/>
  <c r="AL180" i="1"/>
  <c r="AM180" i="1" s="1"/>
  <c r="AO156" i="1"/>
  <c r="AO157" i="1"/>
  <c r="AO158" i="1"/>
  <c r="AO159" i="1"/>
  <c r="AO160" i="1"/>
  <c r="AO161" i="1"/>
  <c r="AO162" i="1"/>
  <c r="AO163" i="1"/>
  <c r="AO164" i="1"/>
  <c r="AO165" i="1"/>
  <c r="AP165" i="1" s="1"/>
  <c r="AX156" i="1"/>
  <c r="AX157" i="1"/>
  <c r="AX158" i="1"/>
  <c r="AX159" i="1"/>
  <c r="AX160" i="1"/>
  <c r="AX161" i="1"/>
  <c r="AX162" i="1"/>
  <c r="AX163" i="1"/>
  <c r="AX164" i="1"/>
  <c r="AX165" i="1"/>
  <c r="AU156" i="1"/>
  <c r="AV156" i="1" s="1"/>
  <c r="AU157" i="1"/>
  <c r="AU158" i="1"/>
  <c r="AU159" i="1"/>
  <c r="AU160" i="1"/>
  <c r="AU161" i="1"/>
  <c r="AU162" i="1"/>
  <c r="AU163" i="1"/>
  <c r="AU164" i="1"/>
  <c r="AU165" i="1"/>
  <c r="AR156" i="1"/>
  <c r="AR157" i="1"/>
  <c r="AR158" i="1"/>
  <c r="AS158" i="1" s="1"/>
  <c r="AR159" i="1"/>
  <c r="AS159" i="1" s="1"/>
  <c r="AR160" i="1"/>
  <c r="AR161" i="1"/>
  <c r="AR162" i="1"/>
  <c r="AR163" i="1"/>
  <c r="AS163" i="1" s="1"/>
  <c r="AR164" i="1"/>
  <c r="AR165" i="1"/>
  <c r="AL156" i="1"/>
  <c r="AM156" i="1" s="1"/>
  <c r="AL157" i="1"/>
  <c r="AL158" i="1"/>
  <c r="AM158" i="1" s="1"/>
  <c r="AL159" i="1"/>
  <c r="AL160" i="1"/>
  <c r="AL161" i="1"/>
  <c r="AL162" i="1"/>
  <c r="AL163" i="1"/>
  <c r="AM163" i="1" s="1"/>
  <c r="AL164" i="1"/>
  <c r="AL165" i="1"/>
  <c r="AM165" i="1" s="1"/>
  <c r="AX141" i="1"/>
  <c r="AX142" i="1"/>
  <c r="AX143" i="1"/>
  <c r="AX144" i="1"/>
  <c r="AY144" i="1" s="1"/>
  <c r="AX145" i="1"/>
  <c r="AY145" i="1" s="1"/>
  <c r="AX146" i="1"/>
  <c r="AX147" i="1"/>
  <c r="AX148" i="1"/>
  <c r="AX149" i="1"/>
  <c r="AX150" i="1"/>
  <c r="AU141" i="1"/>
  <c r="AU142" i="1"/>
  <c r="AV142" i="1" s="1"/>
  <c r="AU143" i="1"/>
  <c r="AU144" i="1"/>
  <c r="AU145" i="1"/>
  <c r="AV145" i="1" s="1"/>
  <c r="AU146" i="1"/>
  <c r="AU147" i="1"/>
  <c r="AU148" i="1"/>
  <c r="AU149" i="1"/>
  <c r="AU150" i="1"/>
  <c r="AR141" i="1"/>
  <c r="AR142" i="1"/>
  <c r="AR143" i="1"/>
  <c r="AR144" i="1"/>
  <c r="AR145" i="1"/>
  <c r="AR146" i="1"/>
  <c r="AR147" i="1"/>
  <c r="AS147" i="1" s="1"/>
  <c r="AR148" i="1"/>
  <c r="AR149" i="1"/>
  <c r="AR150" i="1"/>
  <c r="AO141" i="1"/>
  <c r="AO142" i="1"/>
  <c r="AO143" i="1"/>
  <c r="AO144" i="1"/>
  <c r="AP144" i="1" s="1"/>
  <c r="AO145" i="1"/>
  <c r="AP145" i="1" s="1"/>
  <c r="AO146" i="1"/>
  <c r="AO147" i="1"/>
  <c r="AP147" i="1" s="1"/>
  <c r="AO148" i="1"/>
  <c r="AO149" i="1"/>
  <c r="AP149" i="1" s="1"/>
  <c r="AO150" i="1"/>
  <c r="AL141" i="1"/>
  <c r="AL142" i="1"/>
  <c r="AM142" i="1" s="1"/>
  <c r="AL143" i="1"/>
  <c r="AM143" i="1" s="1"/>
  <c r="AL144" i="1"/>
  <c r="AL145" i="1"/>
  <c r="AL146" i="1"/>
  <c r="AM146" i="1" s="1"/>
  <c r="AL147" i="1"/>
  <c r="AL148" i="1"/>
  <c r="AL149" i="1"/>
  <c r="AL150" i="1"/>
  <c r="AX126" i="1"/>
  <c r="AX127" i="1"/>
  <c r="AX128" i="1"/>
  <c r="AX129" i="1"/>
  <c r="AX130" i="1"/>
  <c r="AX131" i="1"/>
  <c r="AX132" i="1"/>
  <c r="AX133" i="1"/>
  <c r="AX134" i="1"/>
  <c r="AX135" i="1"/>
  <c r="AU126" i="1"/>
  <c r="AU127" i="1"/>
  <c r="AU128" i="1"/>
  <c r="AU129" i="1"/>
  <c r="AU130" i="1"/>
  <c r="AU131" i="1"/>
  <c r="AU132" i="1"/>
  <c r="AU133" i="1"/>
  <c r="AU134" i="1"/>
  <c r="AU135" i="1"/>
  <c r="AR126" i="1"/>
  <c r="AR127" i="1"/>
  <c r="AR128" i="1"/>
  <c r="AR129" i="1"/>
  <c r="AR130" i="1"/>
  <c r="AR131" i="1"/>
  <c r="AR132" i="1"/>
  <c r="AR133" i="1"/>
  <c r="AR134" i="1"/>
  <c r="AR135" i="1"/>
  <c r="AO126" i="1"/>
  <c r="AO127" i="1"/>
  <c r="AP127" i="1" s="1"/>
  <c r="AO128" i="1"/>
  <c r="AO129" i="1"/>
  <c r="AO130" i="1"/>
  <c r="AO131" i="1"/>
  <c r="AO132" i="1"/>
  <c r="AO133" i="1"/>
  <c r="AO134" i="1"/>
  <c r="AO135" i="1"/>
  <c r="AL126" i="1"/>
  <c r="AL127" i="1"/>
  <c r="AL128" i="1"/>
  <c r="AL129" i="1"/>
  <c r="AM129" i="1" s="1"/>
  <c r="AL130" i="1"/>
  <c r="AL131" i="1"/>
  <c r="AM131" i="1" s="1"/>
  <c r="AL132" i="1"/>
  <c r="AL133" i="1"/>
  <c r="AL134" i="1"/>
  <c r="AL135" i="1"/>
  <c r="AX111" i="1"/>
  <c r="AX112" i="1"/>
  <c r="AX113" i="1"/>
  <c r="AX114" i="1"/>
  <c r="AX115" i="1"/>
  <c r="AX116" i="1"/>
  <c r="AY116" i="1" s="1"/>
  <c r="AX117" i="1"/>
  <c r="AX118" i="1"/>
  <c r="AX119" i="1"/>
  <c r="AX120" i="1"/>
  <c r="AU111" i="1"/>
  <c r="AU112" i="1"/>
  <c r="AU113" i="1"/>
  <c r="AU114" i="1"/>
  <c r="AU115" i="1"/>
  <c r="AV115" i="1" s="1"/>
  <c r="AU116" i="1"/>
  <c r="AU117" i="1"/>
  <c r="AU118" i="1"/>
  <c r="AU119" i="1"/>
  <c r="AU120" i="1"/>
  <c r="AR111" i="1"/>
  <c r="AR112" i="1"/>
  <c r="AS112" i="1" s="1"/>
  <c r="AR113" i="1"/>
  <c r="AR114" i="1"/>
  <c r="AR115" i="1"/>
  <c r="AR116" i="1"/>
  <c r="AR117" i="1"/>
  <c r="AR118" i="1"/>
  <c r="AR119" i="1"/>
  <c r="AS119" i="1" s="1"/>
  <c r="AR120" i="1"/>
  <c r="AO111" i="1"/>
  <c r="AO112" i="1"/>
  <c r="AO113" i="1"/>
  <c r="AO114" i="1"/>
  <c r="AO115" i="1"/>
  <c r="AO116" i="1"/>
  <c r="AO117" i="1"/>
  <c r="AO118" i="1"/>
  <c r="AO119" i="1"/>
  <c r="AO120" i="1"/>
  <c r="AL111" i="1"/>
  <c r="AL112" i="1"/>
  <c r="AL113" i="1"/>
  <c r="AM113" i="1" s="1"/>
  <c r="AL114" i="1"/>
  <c r="AL115" i="1"/>
  <c r="AL116" i="1"/>
  <c r="AL117" i="1"/>
  <c r="AL118" i="1"/>
  <c r="AL119" i="1"/>
  <c r="AL120" i="1"/>
  <c r="AX96" i="1"/>
  <c r="AX97" i="1"/>
  <c r="AX98" i="1"/>
  <c r="AY98" i="1" s="1"/>
  <c r="AX99" i="1"/>
  <c r="AX100" i="1"/>
  <c r="AY100" i="1" s="1"/>
  <c r="AX101" i="1"/>
  <c r="AX102" i="1"/>
  <c r="AX103" i="1"/>
  <c r="AX104" i="1"/>
  <c r="AX105" i="1"/>
  <c r="AU96" i="1"/>
  <c r="AU97" i="1"/>
  <c r="AU98" i="1"/>
  <c r="AV98" i="1" s="1"/>
  <c r="AU99" i="1"/>
  <c r="AU100" i="1"/>
  <c r="AU101" i="1"/>
  <c r="AV101" i="1" s="1"/>
  <c r="AU102" i="1"/>
  <c r="AU103" i="1"/>
  <c r="AU104" i="1"/>
  <c r="AU105" i="1"/>
  <c r="AV105" i="1" s="1"/>
  <c r="AR96" i="1"/>
  <c r="AS96" i="1" s="1"/>
  <c r="AR97" i="1"/>
  <c r="AR98" i="1"/>
  <c r="AR99" i="1"/>
  <c r="AS99" i="1" s="1"/>
  <c r="AR100" i="1"/>
  <c r="AS100" i="1" s="1"/>
  <c r="AR101" i="1"/>
  <c r="AR102" i="1"/>
  <c r="AR103" i="1"/>
  <c r="AR104" i="1"/>
  <c r="AS104" i="1" s="1"/>
  <c r="AR105" i="1"/>
  <c r="AX81" i="1"/>
  <c r="AY81" i="1" s="1"/>
  <c r="AX82" i="1"/>
  <c r="AX83" i="1"/>
  <c r="AY83" i="1" s="1"/>
  <c r="AX84" i="1"/>
  <c r="AY84" i="1" s="1"/>
  <c r="AX85" i="1"/>
  <c r="AX86" i="1"/>
  <c r="AX87" i="1"/>
  <c r="AX88" i="1"/>
  <c r="AX89" i="1"/>
  <c r="AY89" i="1" s="1"/>
  <c r="AX90" i="1"/>
  <c r="AU81" i="1"/>
  <c r="AU82" i="1"/>
  <c r="AU83" i="1"/>
  <c r="AU84" i="1"/>
  <c r="AV84" i="1" s="1"/>
  <c r="AU85" i="1"/>
  <c r="AV85" i="1" s="1"/>
  <c r="AU86" i="1"/>
  <c r="AU87" i="1"/>
  <c r="AU88" i="1"/>
  <c r="AU89" i="1"/>
  <c r="AV89" i="1" s="1"/>
  <c r="AU90" i="1"/>
  <c r="AR81" i="1"/>
  <c r="AR82" i="1"/>
  <c r="AR83" i="1"/>
  <c r="AR84" i="1"/>
  <c r="AR85" i="1"/>
  <c r="AR86" i="1"/>
  <c r="AS86" i="1" s="1"/>
  <c r="AR87" i="1"/>
  <c r="AR88" i="1"/>
  <c r="AR89" i="1"/>
  <c r="AR90" i="1"/>
  <c r="AO81" i="1"/>
  <c r="AO82" i="1"/>
  <c r="AP82" i="1" s="1"/>
  <c r="AO83" i="1"/>
  <c r="AO84" i="1"/>
  <c r="AO85" i="1"/>
  <c r="AO86" i="1"/>
  <c r="AO87" i="1"/>
  <c r="AO88" i="1"/>
  <c r="AO89" i="1"/>
  <c r="AO90" i="1"/>
  <c r="AL81" i="1"/>
  <c r="AL82" i="1"/>
  <c r="AM82" i="1" s="1"/>
  <c r="AL83" i="1"/>
  <c r="AM83" i="1" s="1"/>
  <c r="AL84" i="1"/>
  <c r="AM84" i="1" s="1"/>
  <c r="AL85" i="1"/>
  <c r="AL86" i="1"/>
  <c r="AL87" i="1"/>
  <c r="AL88" i="1"/>
  <c r="AL89" i="1"/>
  <c r="AM89" i="1" s="1"/>
  <c r="AL90" i="1"/>
  <c r="AM90" i="1" s="1"/>
  <c r="AX66" i="1"/>
  <c r="AX67" i="1"/>
  <c r="AX68" i="1"/>
  <c r="AX69" i="1"/>
  <c r="AY69" i="1" s="1"/>
  <c r="AX70" i="1"/>
  <c r="AX71" i="1"/>
  <c r="AX72" i="1"/>
  <c r="AX73" i="1"/>
  <c r="AX74" i="1"/>
  <c r="AY74" i="1" s="1"/>
  <c r="AX75" i="1"/>
  <c r="AY75" i="1" s="1"/>
  <c r="AU66" i="1"/>
  <c r="AU67" i="1"/>
  <c r="AU68" i="1"/>
  <c r="AU69" i="1"/>
  <c r="AU70" i="1"/>
  <c r="AV70" i="1" s="1"/>
  <c r="AU71" i="1"/>
  <c r="AV71" i="1" s="1"/>
  <c r="AU72" i="1"/>
  <c r="AU73" i="1"/>
  <c r="AU74" i="1"/>
  <c r="AU75" i="1"/>
  <c r="AR66" i="1"/>
  <c r="AS66" i="1" s="1"/>
  <c r="AR67" i="1"/>
  <c r="AS67" i="1" s="1"/>
  <c r="AR68" i="1"/>
  <c r="AR69" i="1"/>
  <c r="AS69" i="1" s="1"/>
  <c r="AR70" i="1"/>
  <c r="AS70" i="1" s="1"/>
  <c r="AR71" i="1"/>
  <c r="AR72" i="1"/>
  <c r="AR73" i="1"/>
  <c r="AR74" i="1"/>
  <c r="AS74" i="1" s="1"/>
  <c r="AR75" i="1"/>
  <c r="AS75" i="1" s="1"/>
  <c r="AO66" i="1"/>
  <c r="AO67" i="1"/>
  <c r="AO68" i="1"/>
  <c r="AP68" i="1" s="1"/>
  <c r="AO69" i="1"/>
  <c r="AO70" i="1"/>
  <c r="AO71" i="1"/>
  <c r="AO72" i="1"/>
  <c r="AO73" i="1"/>
  <c r="AO74" i="1"/>
  <c r="AO75" i="1"/>
  <c r="AL66" i="1"/>
  <c r="AM66" i="1" s="1"/>
  <c r="AL67" i="1"/>
  <c r="AM67" i="1" s="1"/>
  <c r="AL68" i="1"/>
  <c r="AL69" i="1"/>
  <c r="AM69" i="1" s="1"/>
  <c r="AL70" i="1"/>
  <c r="AL71" i="1"/>
  <c r="AM71" i="1" s="1"/>
  <c r="AL72" i="1"/>
  <c r="AL73" i="1"/>
  <c r="AL74" i="1"/>
  <c r="AL75" i="1"/>
  <c r="AX51" i="1"/>
  <c r="AX52" i="1"/>
  <c r="AY52" i="1" s="1"/>
  <c r="AX53" i="1"/>
  <c r="AX54" i="1"/>
  <c r="AX55" i="1"/>
  <c r="AX56" i="1"/>
  <c r="AX57" i="1"/>
  <c r="AX58" i="1"/>
  <c r="AX59" i="1"/>
  <c r="AX60" i="1"/>
  <c r="AU51" i="1"/>
  <c r="AU52" i="1"/>
  <c r="AU53" i="1"/>
  <c r="AU54" i="1"/>
  <c r="AU55" i="1"/>
  <c r="AU56" i="1"/>
  <c r="AU57" i="1"/>
  <c r="AU58" i="1"/>
  <c r="AU59" i="1"/>
  <c r="AU60" i="1"/>
  <c r="AR51" i="1"/>
  <c r="AR52" i="1"/>
  <c r="AR53" i="1"/>
  <c r="AR54" i="1"/>
  <c r="AR55" i="1"/>
  <c r="AR56" i="1"/>
  <c r="AR57" i="1"/>
  <c r="AR58" i="1"/>
  <c r="AR59" i="1"/>
  <c r="AR60" i="1"/>
  <c r="AO51" i="1"/>
  <c r="AO52" i="1"/>
  <c r="AO53" i="1"/>
  <c r="AP53" i="1" s="1"/>
  <c r="AO54" i="1"/>
  <c r="AO55" i="1"/>
  <c r="AO56" i="1"/>
  <c r="AO57" i="1"/>
  <c r="AO58" i="1"/>
  <c r="AP58" i="1" s="1"/>
  <c r="AO59" i="1"/>
  <c r="AO60" i="1"/>
  <c r="AL51" i="1"/>
  <c r="AL52" i="1"/>
  <c r="AL53" i="1"/>
  <c r="AM53" i="1" s="1"/>
  <c r="AL54" i="1"/>
  <c r="AM54" i="1" s="1"/>
  <c r="AL55" i="1"/>
  <c r="AL56" i="1"/>
  <c r="AL57" i="1"/>
  <c r="AL58" i="1"/>
  <c r="AL59" i="1"/>
  <c r="AL60" i="1"/>
  <c r="AM60" i="1" s="1"/>
  <c r="AO96" i="1"/>
  <c r="AO97" i="1"/>
  <c r="AO98" i="1"/>
  <c r="AO99" i="1"/>
  <c r="AO100" i="1"/>
  <c r="AO101" i="1"/>
  <c r="AO102" i="1"/>
  <c r="AO103" i="1"/>
  <c r="AO104" i="1"/>
  <c r="AP104" i="1" s="1"/>
  <c r="AO105" i="1"/>
  <c r="AL96" i="1"/>
  <c r="AM96" i="1" s="1"/>
  <c r="AL97" i="1"/>
  <c r="AL98" i="1"/>
  <c r="AL99" i="1"/>
  <c r="AL100" i="1"/>
  <c r="AL101" i="1"/>
  <c r="AM101" i="1" s="1"/>
  <c r="AL102" i="1"/>
  <c r="AL103" i="1"/>
  <c r="AM103" i="1" s="1"/>
  <c r="AL104" i="1"/>
  <c r="AL105" i="1"/>
  <c r="AY195" i="1"/>
  <c r="AS195" i="1"/>
  <c r="AP195" i="1"/>
  <c r="AM195" i="1"/>
  <c r="AY194" i="1"/>
  <c r="AS194" i="1"/>
  <c r="AP194" i="1"/>
  <c r="AY193" i="1"/>
  <c r="AV193" i="1"/>
  <c r="AS193" i="1"/>
  <c r="AP193" i="1"/>
  <c r="AM193" i="1"/>
  <c r="AY192" i="1"/>
  <c r="AV192" i="1"/>
  <c r="AS192" i="1"/>
  <c r="AP192" i="1"/>
  <c r="AM192" i="1"/>
  <c r="AY191" i="1"/>
  <c r="AV191" i="1"/>
  <c r="AS191" i="1"/>
  <c r="AP191" i="1"/>
  <c r="AM191" i="1"/>
  <c r="AV190" i="1"/>
  <c r="AS190" i="1"/>
  <c r="AP190" i="1"/>
  <c r="AM190" i="1"/>
  <c r="AV189" i="1"/>
  <c r="AS189" i="1"/>
  <c r="AP189" i="1"/>
  <c r="AM189" i="1"/>
  <c r="AY188" i="1"/>
  <c r="AV188" i="1"/>
  <c r="AP188" i="1"/>
  <c r="AM188" i="1"/>
  <c r="AY187" i="1"/>
  <c r="AV187" i="1"/>
  <c r="AP187" i="1"/>
  <c r="AM187" i="1"/>
  <c r="AY186" i="1"/>
  <c r="AV186" i="1"/>
  <c r="AS186" i="1"/>
  <c r="AP186" i="1"/>
  <c r="AY180" i="1"/>
  <c r="AV180" i="1"/>
  <c r="AP180" i="1"/>
  <c r="AY179" i="1"/>
  <c r="AS179" i="1"/>
  <c r="AP179" i="1"/>
  <c r="AM179" i="1"/>
  <c r="AY178" i="1"/>
  <c r="AV178" i="1"/>
  <c r="AS178" i="1"/>
  <c r="AP178" i="1"/>
  <c r="AM178" i="1"/>
  <c r="AY177" i="1"/>
  <c r="AV177" i="1"/>
  <c r="AS177" i="1"/>
  <c r="AP177" i="1"/>
  <c r="AY176" i="1"/>
  <c r="AV176" i="1"/>
  <c r="AS176" i="1"/>
  <c r="AM176" i="1"/>
  <c r="AY175" i="1"/>
  <c r="AV175" i="1"/>
  <c r="AS175" i="1"/>
  <c r="AP175" i="1"/>
  <c r="AM175" i="1"/>
  <c r="AV174" i="1"/>
  <c r="AS174" i="1"/>
  <c r="AP174" i="1"/>
  <c r="AM174" i="1"/>
  <c r="AY173" i="1"/>
  <c r="AV173" i="1"/>
  <c r="AS173" i="1"/>
  <c r="AP173" i="1"/>
  <c r="AM173" i="1"/>
  <c r="AY172" i="1"/>
  <c r="AV172" i="1"/>
  <c r="AS172" i="1"/>
  <c r="AM172" i="1"/>
  <c r="AY171" i="1"/>
  <c r="AV171" i="1"/>
  <c r="AS171" i="1"/>
  <c r="AP171" i="1"/>
  <c r="AM171" i="1"/>
  <c r="AY165" i="1"/>
  <c r="AV165" i="1"/>
  <c r="AS165" i="1"/>
  <c r="AY164" i="1"/>
  <c r="AV164" i="1"/>
  <c r="AS164" i="1"/>
  <c r="AP164" i="1"/>
  <c r="AM164" i="1"/>
  <c r="AY163" i="1"/>
  <c r="AV163" i="1"/>
  <c r="AP163" i="1"/>
  <c r="AY162" i="1"/>
  <c r="AV162" i="1"/>
  <c r="AS162" i="1"/>
  <c r="AP162" i="1"/>
  <c r="AM162" i="1"/>
  <c r="AY161" i="1"/>
  <c r="AV161" i="1"/>
  <c r="AS161" i="1"/>
  <c r="AP161" i="1"/>
  <c r="AM161" i="1"/>
  <c r="AY160" i="1"/>
  <c r="AV160" i="1"/>
  <c r="AS160" i="1"/>
  <c r="AP160" i="1"/>
  <c r="AM160" i="1"/>
  <c r="AY159" i="1"/>
  <c r="AV159" i="1"/>
  <c r="AP159" i="1"/>
  <c r="AM159" i="1"/>
  <c r="AY158" i="1"/>
  <c r="AV158" i="1"/>
  <c r="AP158" i="1"/>
  <c r="AY157" i="1"/>
  <c r="AV157" i="1"/>
  <c r="AS157" i="1"/>
  <c r="AP157" i="1"/>
  <c r="AM157" i="1"/>
  <c r="AY156" i="1"/>
  <c r="AS156" i="1"/>
  <c r="AP156" i="1"/>
  <c r="AY150" i="1"/>
  <c r="AV150" i="1"/>
  <c r="AS150" i="1"/>
  <c r="AP150" i="1"/>
  <c r="AM150" i="1"/>
  <c r="AY149" i="1"/>
  <c r="AV149" i="1"/>
  <c r="AS149" i="1"/>
  <c r="AM149" i="1"/>
  <c r="AY148" i="1"/>
  <c r="AV148" i="1"/>
  <c r="AS148" i="1"/>
  <c r="AP148" i="1"/>
  <c r="AM148" i="1"/>
  <c r="AY147" i="1"/>
  <c r="AV147" i="1"/>
  <c r="AM147" i="1"/>
  <c r="AY146" i="1"/>
  <c r="AV146" i="1"/>
  <c r="AS146" i="1"/>
  <c r="AP146" i="1"/>
  <c r="AS145" i="1"/>
  <c r="AM145" i="1"/>
  <c r="AV144" i="1"/>
  <c r="AS144" i="1"/>
  <c r="AM144" i="1"/>
  <c r="AY143" i="1"/>
  <c r="AV143" i="1"/>
  <c r="AS143" i="1"/>
  <c r="AP143" i="1"/>
  <c r="AY142" i="1"/>
  <c r="AS142" i="1"/>
  <c r="AP142" i="1"/>
  <c r="AY141" i="1"/>
  <c r="AV141" i="1"/>
  <c r="AS141" i="1"/>
  <c r="AP141" i="1"/>
  <c r="AM141" i="1"/>
  <c r="AY135" i="1"/>
  <c r="AV135" i="1"/>
  <c r="AS135" i="1"/>
  <c r="AP135" i="1"/>
  <c r="AM135" i="1"/>
  <c r="AY134" i="1"/>
  <c r="AV134" i="1"/>
  <c r="AS134" i="1"/>
  <c r="AP134" i="1"/>
  <c r="AM134" i="1"/>
  <c r="AY133" i="1"/>
  <c r="AV133" i="1"/>
  <c r="AS133" i="1"/>
  <c r="AP133" i="1"/>
  <c r="AM133" i="1"/>
  <c r="AY132" i="1"/>
  <c r="AV132" i="1"/>
  <c r="AS132" i="1"/>
  <c r="AP132" i="1"/>
  <c r="AM132" i="1"/>
  <c r="AY131" i="1"/>
  <c r="AV131" i="1"/>
  <c r="AS131" i="1"/>
  <c r="AP131" i="1"/>
  <c r="AY130" i="1"/>
  <c r="AV130" i="1"/>
  <c r="AS130" i="1"/>
  <c r="AP130" i="1"/>
  <c r="AM130" i="1"/>
  <c r="AY129" i="1"/>
  <c r="AV129" i="1"/>
  <c r="AS129" i="1"/>
  <c r="AP129" i="1"/>
  <c r="AY128" i="1"/>
  <c r="AV128" i="1"/>
  <c r="AS128" i="1"/>
  <c r="AP128" i="1"/>
  <c r="AM128" i="1"/>
  <c r="AY127" i="1"/>
  <c r="AV127" i="1"/>
  <c r="AS127" i="1"/>
  <c r="AM127" i="1"/>
  <c r="AY126" i="1"/>
  <c r="AY136" i="1" s="1"/>
  <c r="AV126" i="1"/>
  <c r="AS126" i="1"/>
  <c r="AP126" i="1"/>
  <c r="AM126" i="1"/>
  <c r="AY120" i="1"/>
  <c r="AV120" i="1"/>
  <c r="AS120" i="1"/>
  <c r="AP120" i="1"/>
  <c r="AM120" i="1"/>
  <c r="AY119" i="1"/>
  <c r="AV119" i="1"/>
  <c r="AP119" i="1"/>
  <c r="AM119" i="1"/>
  <c r="AY118" i="1"/>
  <c r="AV118" i="1"/>
  <c r="AS118" i="1"/>
  <c r="AP118" i="1"/>
  <c r="AM118" i="1"/>
  <c r="AY117" i="1"/>
  <c r="AV117" i="1"/>
  <c r="AS117" i="1"/>
  <c r="AP117" i="1"/>
  <c r="AM117" i="1"/>
  <c r="AV116" i="1"/>
  <c r="AS116" i="1"/>
  <c r="AP116" i="1"/>
  <c r="AM116" i="1"/>
  <c r="AY115" i="1"/>
  <c r="AS115" i="1"/>
  <c r="AP115" i="1"/>
  <c r="AM115" i="1"/>
  <c r="AY114" i="1"/>
  <c r="AV114" i="1"/>
  <c r="AS114" i="1"/>
  <c r="AP114" i="1"/>
  <c r="AM114" i="1"/>
  <c r="AY113" i="1"/>
  <c r="AV113" i="1"/>
  <c r="AS113" i="1"/>
  <c r="AP113" i="1"/>
  <c r="AY112" i="1"/>
  <c r="AV112" i="1"/>
  <c r="AP112" i="1"/>
  <c r="AM112" i="1"/>
  <c r="AY111" i="1"/>
  <c r="AV111" i="1"/>
  <c r="AS111" i="1"/>
  <c r="AP111" i="1"/>
  <c r="AM111" i="1"/>
  <c r="AY105" i="1"/>
  <c r="AS105" i="1"/>
  <c r="AP105" i="1"/>
  <c r="AM105" i="1"/>
  <c r="AY104" i="1"/>
  <c r="AV104" i="1"/>
  <c r="AM104" i="1"/>
  <c r="AY103" i="1"/>
  <c r="AV103" i="1"/>
  <c r="AS103" i="1"/>
  <c r="AP103" i="1"/>
  <c r="AY102" i="1"/>
  <c r="AV102" i="1"/>
  <c r="AS102" i="1"/>
  <c r="AP102" i="1"/>
  <c r="AM102" i="1"/>
  <c r="AY101" i="1"/>
  <c r="AS101" i="1"/>
  <c r="AP101" i="1"/>
  <c r="AV100" i="1"/>
  <c r="AP100" i="1"/>
  <c r="AM100" i="1"/>
  <c r="AY99" i="1"/>
  <c r="AV99" i="1"/>
  <c r="AP99" i="1"/>
  <c r="AM99" i="1"/>
  <c r="AS98" i="1"/>
  <c r="AP98" i="1"/>
  <c r="AM98" i="1"/>
  <c r="AY97" i="1"/>
  <c r="AV97" i="1"/>
  <c r="AS97" i="1"/>
  <c r="AP97" i="1"/>
  <c r="AM97" i="1"/>
  <c r="AY96" i="1"/>
  <c r="AV96" i="1"/>
  <c r="AP96" i="1"/>
  <c r="AY90" i="1"/>
  <c r="AV90" i="1"/>
  <c r="AS90" i="1"/>
  <c r="AP90" i="1"/>
  <c r="AS89" i="1"/>
  <c r="AP89" i="1"/>
  <c r="AY88" i="1"/>
  <c r="AV88" i="1"/>
  <c r="AS88" i="1"/>
  <c r="AP88" i="1"/>
  <c r="AM88" i="1"/>
  <c r="AY87" i="1"/>
  <c r="AV87" i="1"/>
  <c r="AS87" i="1"/>
  <c r="AP87" i="1"/>
  <c r="AM87" i="1"/>
  <c r="AY86" i="1"/>
  <c r="AV86" i="1"/>
  <c r="AP86" i="1"/>
  <c r="AM86" i="1"/>
  <c r="AY85" i="1"/>
  <c r="AS85" i="1"/>
  <c r="AP85" i="1"/>
  <c r="AM85" i="1"/>
  <c r="AS84" i="1"/>
  <c r="AP84" i="1"/>
  <c r="AV83" i="1"/>
  <c r="AS83" i="1"/>
  <c r="AP83" i="1"/>
  <c r="AY82" i="1"/>
  <c r="AV82" i="1"/>
  <c r="AS82" i="1"/>
  <c r="AV81" i="1"/>
  <c r="AS81" i="1"/>
  <c r="AP81" i="1"/>
  <c r="AM81" i="1"/>
  <c r="AV75" i="1"/>
  <c r="AP75" i="1"/>
  <c r="AM75" i="1"/>
  <c r="AV74" i="1"/>
  <c r="AP74" i="1"/>
  <c r="AM74" i="1"/>
  <c r="AY73" i="1"/>
  <c r="AV73" i="1"/>
  <c r="AS73" i="1"/>
  <c r="AP73" i="1"/>
  <c r="AM73" i="1"/>
  <c r="AY72" i="1"/>
  <c r="AV72" i="1"/>
  <c r="AS72" i="1"/>
  <c r="AP72" i="1"/>
  <c r="AM72" i="1"/>
  <c r="AY71" i="1"/>
  <c r="AS71" i="1"/>
  <c r="AP71" i="1"/>
  <c r="AY70" i="1"/>
  <c r="AP70" i="1"/>
  <c r="AM70" i="1"/>
  <c r="AV69" i="1"/>
  <c r="AP69" i="1"/>
  <c r="AY68" i="1"/>
  <c r="AV68" i="1"/>
  <c r="AS68" i="1"/>
  <c r="AM68" i="1"/>
  <c r="AY67" i="1"/>
  <c r="AV67" i="1"/>
  <c r="AP67" i="1"/>
  <c r="AY66" i="1"/>
  <c r="AV66" i="1"/>
  <c r="AP66" i="1"/>
  <c r="AY60" i="1"/>
  <c r="AV60" i="1"/>
  <c r="AS60" i="1"/>
  <c r="AP60" i="1"/>
  <c r="AY59" i="1"/>
  <c r="AV59" i="1"/>
  <c r="AS59" i="1"/>
  <c r="AP59" i="1"/>
  <c r="AM59" i="1"/>
  <c r="AY58" i="1"/>
  <c r="AV58" i="1"/>
  <c r="AS58" i="1"/>
  <c r="AM58" i="1"/>
  <c r="AY57" i="1"/>
  <c r="AV57" i="1"/>
  <c r="AS57" i="1"/>
  <c r="AP57" i="1"/>
  <c r="AM57" i="1"/>
  <c r="AY56" i="1"/>
  <c r="AV56" i="1"/>
  <c r="AS56" i="1"/>
  <c r="AP56" i="1"/>
  <c r="AM56" i="1"/>
  <c r="AY55" i="1"/>
  <c r="AV55" i="1"/>
  <c r="AS55" i="1"/>
  <c r="AP55" i="1"/>
  <c r="AM55" i="1"/>
  <c r="AY54" i="1"/>
  <c r="AV54" i="1"/>
  <c r="AS54" i="1"/>
  <c r="AP54" i="1"/>
  <c r="AY53" i="1"/>
  <c r="AV53" i="1"/>
  <c r="AS53" i="1"/>
  <c r="AV52" i="1"/>
  <c r="AS52" i="1"/>
  <c r="AP52" i="1"/>
  <c r="AM52" i="1"/>
  <c r="AY51" i="1"/>
  <c r="AV51" i="1"/>
  <c r="AS51" i="1"/>
  <c r="AP51" i="1"/>
  <c r="AM51" i="1"/>
  <c r="AF186" i="1"/>
  <c r="AG186" i="1" s="1"/>
  <c r="AF187" i="1"/>
  <c r="AF188" i="1"/>
  <c r="AF189" i="1"/>
  <c r="AG189" i="1" s="1"/>
  <c r="AF190" i="1"/>
  <c r="AG190" i="1" s="1"/>
  <c r="AF191" i="1"/>
  <c r="AF192" i="1"/>
  <c r="AF193" i="1"/>
  <c r="AG193" i="1" s="1"/>
  <c r="AF194" i="1"/>
  <c r="AF195" i="1"/>
  <c r="AC186" i="1"/>
  <c r="AC187" i="1"/>
  <c r="AC188" i="1"/>
  <c r="AC189" i="1"/>
  <c r="AC190" i="1"/>
  <c r="AC191" i="1"/>
  <c r="AC192" i="1"/>
  <c r="AC193" i="1"/>
  <c r="AC194" i="1"/>
  <c r="AC195" i="1"/>
  <c r="Z186" i="1"/>
  <c r="Z187" i="1"/>
  <c r="Z188" i="1"/>
  <c r="AA188" i="1" s="1"/>
  <c r="Z189" i="1"/>
  <c r="AA189" i="1" s="1"/>
  <c r="Z190" i="1"/>
  <c r="AA190" i="1" s="1"/>
  <c r="Z191" i="1"/>
  <c r="Z192" i="1"/>
  <c r="Z193" i="1"/>
  <c r="Z194" i="1"/>
  <c r="Z195" i="1"/>
  <c r="W186" i="1"/>
  <c r="W187" i="1"/>
  <c r="X187" i="1" s="1"/>
  <c r="W188" i="1"/>
  <c r="W189" i="1"/>
  <c r="X189" i="1" s="1"/>
  <c r="W190" i="1"/>
  <c r="X190" i="1" s="1"/>
  <c r="W191" i="1"/>
  <c r="W192" i="1"/>
  <c r="W193" i="1"/>
  <c r="W194" i="1"/>
  <c r="W195" i="1"/>
  <c r="X195" i="1" s="1"/>
  <c r="T186" i="1"/>
  <c r="T187" i="1"/>
  <c r="T188" i="1"/>
  <c r="T189" i="1"/>
  <c r="T190" i="1"/>
  <c r="T191" i="1"/>
  <c r="T192" i="1"/>
  <c r="T193" i="1"/>
  <c r="T194" i="1"/>
  <c r="U194" i="1" s="1"/>
  <c r="T195" i="1"/>
  <c r="AF171" i="1"/>
  <c r="AF172" i="1"/>
  <c r="AF173" i="1"/>
  <c r="AF174" i="1"/>
  <c r="AG174" i="1" s="1"/>
  <c r="AF175" i="1"/>
  <c r="AF176" i="1"/>
  <c r="AF177" i="1"/>
  <c r="AF178" i="1"/>
  <c r="AF179" i="1"/>
  <c r="AF180" i="1"/>
  <c r="AC171" i="1"/>
  <c r="AC172" i="1"/>
  <c r="AC173" i="1"/>
  <c r="AD173" i="1" s="1"/>
  <c r="AC174" i="1"/>
  <c r="AC175" i="1"/>
  <c r="AC176" i="1"/>
  <c r="AC177" i="1"/>
  <c r="AC178" i="1"/>
  <c r="AD178" i="1" s="1"/>
  <c r="AC179" i="1"/>
  <c r="AD179" i="1" s="1"/>
  <c r="AC180" i="1"/>
  <c r="Z171" i="1"/>
  <c r="Z172" i="1"/>
  <c r="Z173" i="1"/>
  <c r="Z174" i="1"/>
  <c r="Z175" i="1"/>
  <c r="Z176" i="1"/>
  <c r="Z177" i="1"/>
  <c r="Z178" i="1"/>
  <c r="Z179" i="1"/>
  <c r="Z180" i="1"/>
  <c r="W171" i="1"/>
  <c r="W172" i="1"/>
  <c r="W173" i="1"/>
  <c r="W174" i="1"/>
  <c r="W175" i="1"/>
  <c r="W176" i="1"/>
  <c r="W177" i="1"/>
  <c r="W178" i="1"/>
  <c r="W179" i="1"/>
  <c r="W180" i="1"/>
  <c r="T171" i="1"/>
  <c r="U171" i="1" s="1"/>
  <c r="T172" i="1"/>
  <c r="T173" i="1"/>
  <c r="U173" i="1" s="1"/>
  <c r="T174" i="1"/>
  <c r="U174" i="1" s="1"/>
  <c r="T175" i="1"/>
  <c r="T176" i="1"/>
  <c r="U176" i="1" s="1"/>
  <c r="T177" i="1"/>
  <c r="T178" i="1"/>
  <c r="T179" i="1"/>
  <c r="T180" i="1"/>
  <c r="AF156" i="1"/>
  <c r="AF157" i="1"/>
  <c r="AF158" i="1"/>
  <c r="AF159" i="1"/>
  <c r="AG159" i="1" s="1"/>
  <c r="AF160" i="1"/>
  <c r="AG160" i="1" s="1"/>
  <c r="AF161" i="1"/>
  <c r="AF162" i="1"/>
  <c r="AF163" i="1"/>
  <c r="AG163" i="1" s="1"/>
  <c r="AF164" i="1"/>
  <c r="AF165" i="1"/>
  <c r="AG165" i="1" s="1"/>
  <c r="AC156" i="1"/>
  <c r="AC157" i="1"/>
  <c r="AC158" i="1"/>
  <c r="AD158" i="1" s="1"/>
  <c r="AC159" i="1"/>
  <c r="AC160" i="1"/>
  <c r="AD160" i="1" s="1"/>
  <c r="AC161" i="1"/>
  <c r="AC162" i="1"/>
  <c r="AC163" i="1"/>
  <c r="AC164" i="1"/>
  <c r="AC165" i="1"/>
  <c r="Z156" i="1"/>
  <c r="Z157" i="1"/>
  <c r="Z158" i="1"/>
  <c r="AA158" i="1" s="1"/>
  <c r="Z159" i="1"/>
  <c r="Z160" i="1"/>
  <c r="Z161" i="1"/>
  <c r="Z162" i="1"/>
  <c r="Z163" i="1"/>
  <c r="Z164" i="1"/>
  <c r="Z165" i="1"/>
  <c r="AA165" i="1" s="1"/>
  <c r="W156" i="1"/>
  <c r="W157" i="1"/>
  <c r="W158" i="1"/>
  <c r="X158" i="1" s="1"/>
  <c r="W159" i="1"/>
  <c r="W160" i="1"/>
  <c r="W161" i="1"/>
  <c r="W162" i="1"/>
  <c r="W163" i="1"/>
  <c r="X163" i="1" s="1"/>
  <c r="W164" i="1"/>
  <c r="X164" i="1" s="1"/>
  <c r="W165" i="1"/>
  <c r="X165" i="1" s="1"/>
  <c r="T156" i="1"/>
  <c r="T157" i="1"/>
  <c r="T158" i="1"/>
  <c r="U158" i="1" s="1"/>
  <c r="T159" i="1"/>
  <c r="T160" i="1"/>
  <c r="U160" i="1" s="1"/>
  <c r="T161" i="1"/>
  <c r="T162" i="1"/>
  <c r="T163" i="1"/>
  <c r="T164" i="1"/>
  <c r="T165" i="1"/>
  <c r="AF141" i="1"/>
  <c r="AF142" i="1"/>
  <c r="AF143" i="1"/>
  <c r="AF144" i="1"/>
  <c r="AF145" i="1"/>
  <c r="AF146" i="1"/>
  <c r="AF147" i="1"/>
  <c r="AF148" i="1"/>
  <c r="AF149" i="1"/>
  <c r="AG149" i="1" s="1"/>
  <c r="AF150" i="1"/>
  <c r="AC141" i="1"/>
  <c r="AC142" i="1"/>
  <c r="AD142" i="1" s="1"/>
  <c r="AC143" i="1"/>
  <c r="AC144" i="1"/>
  <c r="AC145" i="1"/>
  <c r="AC146" i="1"/>
  <c r="AD146" i="1" s="1"/>
  <c r="AC147" i="1"/>
  <c r="AC148" i="1"/>
  <c r="AC149" i="1"/>
  <c r="AC150" i="1"/>
  <c r="Z141" i="1"/>
  <c r="Z142" i="1"/>
  <c r="AA142" i="1" s="1"/>
  <c r="Z143" i="1"/>
  <c r="Z144" i="1"/>
  <c r="AA144" i="1" s="1"/>
  <c r="Z145" i="1"/>
  <c r="Z146" i="1"/>
  <c r="AA146" i="1" s="1"/>
  <c r="Z147" i="1"/>
  <c r="Z148" i="1"/>
  <c r="Z149" i="1"/>
  <c r="Z150" i="1"/>
  <c r="AA150" i="1" s="1"/>
  <c r="W141" i="1"/>
  <c r="W142" i="1"/>
  <c r="W143" i="1"/>
  <c r="W144" i="1"/>
  <c r="W145" i="1"/>
  <c r="W146" i="1"/>
  <c r="W147" i="1"/>
  <c r="W148" i="1"/>
  <c r="W149" i="1"/>
  <c r="W150" i="1"/>
  <c r="X150" i="1" s="1"/>
  <c r="T141" i="1"/>
  <c r="T142" i="1"/>
  <c r="T143" i="1"/>
  <c r="U143" i="1" s="1"/>
  <c r="T144" i="1"/>
  <c r="U144" i="1" s="1"/>
  <c r="T145" i="1"/>
  <c r="U145" i="1" s="1"/>
  <c r="T146" i="1"/>
  <c r="T147" i="1"/>
  <c r="T148" i="1"/>
  <c r="T149" i="1"/>
  <c r="T150" i="1"/>
  <c r="AF126" i="1"/>
  <c r="AF127" i="1"/>
  <c r="AF128" i="1"/>
  <c r="AF129" i="1"/>
  <c r="AF130" i="1"/>
  <c r="AF131" i="1"/>
  <c r="AF132" i="1"/>
  <c r="AF133" i="1"/>
  <c r="AF134" i="1"/>
  <c r="AF135" i="1"/>
  <c r="AC126" i="1"/>
  <c r="AC127" i="1"/>
  <c r="AC128" i="1"/>
  <c r="AD128" i="1" s="1"/>
  <c r="AC129" i="1"/>
  <c r="AC130" i="1"/>
  <c r="AC131" i="1"/>
  <c r="AC132" i="1"/>
  <c r="AC133" i="1"/>
  <c r="AC134" i="1"/>
  <c r="AC135" i="1"/>
  <c r="Z126" i="1"/>
  <c r="AA126" i="1" s="1"/>
  <c r="Z127" i="1"/>
  <c r="Z128" i="1"/>
  <c r="Z129" i="1"/>
  <c r="AA129" i="1" s="1"/>
  <c r="Z130" i="1"/>
  <c r="Z131" i="1"/>
  <c r="Z132" i="1"/>
  <c r="Z133" i="1"/>
  <c r="Z134" i="1"/>
  <c r="Z135" i="1"/>
  <c r="W126" i="1"/>
  <c r="X126" i="1" s="1"/>
  <c r="W127" i="1"/>
  <c r="W128" i="1"/>
  <c r="X128" i="1" s="1"/>
  <c r="W129" i="1"/>
  <c r="W130" i="1"/>
  <c r="W131" i="1"/>
  <c r="X131" i="1" s="1"/>
  <c r="W132" i="1"/>
  <c r="X132" i="1" s="1"/>
  <c r="W133" i="1"/>
  <c r="W134" i="1"/>
  <c r="W135" i="1"/>
  <c r="X135" i="1" s="1"/>
  <c r="T126" i="1"/>
  <c r="T127" i="1"/>
  <c r="T128" i="1"/>
  <c r="U128" i="1" s="1"/>
  <c r="T129" i="1"/>
  <c r="T130" i="1"/>
  <c r="T131" i="1"/>
  <c r="T132" i="1"/>
  <c r="T133" i="1"/>
  <c r="T134" i="1"/>
  <c r="U134" i="1" s="1"/>
  <c r="T135" i="1"/>
  <c r="U135" i="1" s="1"/>
  <c r="AF111" i="1"/>
  <c r="AF112" i="1"/>
  <c r="AF113" i="1"/>
  <c r="AF114" i="1"/>
  <c r="AG114" i="1" s="1"/>
  <c r="AF115" i="1"/>
  <c r="AG115" i="1" s="1"/>
  <c r="AF116" i="1"/>
  <c r="AF117" i="1"/>
  <c r="AG117" i="1" s="1"/>
  <c r="AF118" i="1"/>
  <c r="AF119" i="1"/>
  <c r="AF120" i="1"/>
  <c r="AC111" i="1"/>
  <c r="AC112" i="1"/>
  <c r="AD112" i="1" s="1"/>
  <c r="AC113" i="1"/>
  <c r="AD113" i="1" s="1"/>
  <c r="AC114" i="1"/>
  <c r="AC115" i="1"/>
  <c r="AD115" i="1" s="1"/>
  <c r="AC116" i="1"/>
  <c r="AC117" i="1"/>
  <c r="AC118" i="1"/>
  <c r="AD118" i="1" s="1"/>
  <c r="AC119" i="1"/>
  <c r="AD119" i="1" s="1"/>
  <c r="AC120" i="1"/>
  <c r="Z111" i="1"/>
  <c r="AA111" i="1" s="1"/>
  <c r="Z112" i="1"/>
  <c r="AA112" i="1" s="1"/>
  <c r="Z113" i="1"/>
  <c r="Z114" i="1"/>
  <c r="AA114" i="1" s="1"/>
  <c r="Z115" i="1"/>
  <c r="Z116" i="1"/>
  <c r="Z117" i="1"/>
  <c r="AA117" i="1" s="1"/>
  <c r="Z118" i="1"/>
  <c r="Z119" i="1"/>
  <c r="Z120" i="1"/>
  <c r="W111" i="1"/>
  <c r="W112" i="1"/>
  <c r="W113" i="1"/>
  <c r="X113" i="1" s="1"/>
  <c r="W114" i="1"/>
  <c r="X114" i="1" s="1"/>
  <c r="W115" i="1"/>
  <c r="W116" i="1"/>
  <c r="W117" i="1"/>
  <c r="W118" i="1"/>
  <c r="W119" i="1"/>
  <c r="W120" i="1"/>
  <c r="T111" i="1"/>
  <c r="T112" i="1"/>
  <c r="U112" i="1" s="1"/>
  <c r="T113" i="1"/>
  <c r="T114" i="1"/>
  <c r="U114" i="1" s="1"/>
  <c r="T115" i="1"/>
  <c r="T116" i="1"/>
  <c r="U116" i="1" s="1"/>
  <c r="T117" i="1"/>
  <c r="T118" i="1"/>
  <c r="T119" i="1"/>
  <c r="T120" i="1"/>
  <c r="AF96" i="1"/>
  <c r="AG96" i="1" s="1"/>
  <c r="AF97" i="1"/>
  <c r="AF98" i="1"/>
  <c r="AF99" i="1"/>
  <c r="AG99" i="1" s="1"/>
  <c r="AF100" i="1"/>
  <c r="AG100" i="1" s="1"/>
  <c r="AF101" i="1"/>
  <c r="AF102" i="1"/>
  <c r="AF103" i="1"/>
  <c r="AG103" i="1" s="1"/>
  <c r="AF104" i="1"/>
  <c r="AF105" i="1"/>
  <c r="AC96" i="1"/>
  <c r="AC97" i="1"/>
  <c r="AD97" i="1" s="1"/>
  <c r="AC98" i="1"/>
  <c r="AD98" i="1" s="1"/>
  <c r="AC99" i="1"/>
  <c r="AC100" i="1"/>
  <c r="AD100" i="1" s="1"/>
  <c r="AC101" i="1"/>
  <c r="AC102" i="1"/>
  <c r="AC103" i="1"/>
  <c r="AC104" i="1"/>
  <c r="AD104" i="1" s="1"/>
  <c r="AC105" i="1"/>
  <c r="Z96" i="1"/>
  <c r="Z97" i="1"/>
  <c r="Z98" i="1"/>
  <c r="Z99" i="1"/>
  <c r="AA99" i="1" s="1"/>
  <c r="Z100" i="1"/>
  <c r="Z101" i="1"/>
  <c r="AA101" i="1" s="1"/>
  <c r="Z102" i="1"/>
  <c r="Z103" i="1"/>
  <c r="Z104" i="1"/>
  <c r="AA104" i="1" s="1"/>
  <c r="Z105" i="1"/>
  <c r="AA105" i="1" s="1"/>
  <c r="AA96" i="1"/>
  <c r="AA98" i="1"/>
  <c r="W96" i="1"/>
  <c r="W97" i="1"/>
  <c r="W98" i="1"/>
  <c r="W99" i="1"/>
  <c r="W100" i="1"/>
  <c r="W101" i="1"/>
  <c r="X101" i="1" s="1"/>
  <c r="W102" i="1"/>
  <c r="X102" i="1" s="1"/>
  <c r="W103" i="1"/>
  <c r="W104" i="1"/>
  <c r="W105" i="1"/>
  <c r="T96" i="1"/>
  <c r="T97" i="1"/>
  <c r="U97" i="1" s="1"/>
  <c r="T98" i="1"/>
  <c r="U98" i="1" s="1"/>
  <c r="T99" i="1"/>
  <c r="T100" i="1"/>
  <c r="T101" i="1"/>
  <c r="T102" i="1"/>
  <c r="T103" i="1"/>
  <c r="T104" i="1"/>
  <c r="T105" i="1"/>
  <c r="AF81" i="1"/>
  <c r="AF82" i="1"/>
  <c r="AF83" i="1"/>
  <c r="AG83" i="1" s="1"/>
  <c r="AF84" i="1"/>
  <c r="AG84" i="1" s="1"/>
  <c r="AF85" i="1"/>
  <c r="AF86" i="1"/>
  <c r="AG86" i="1" s="1"/>
  <c r="AF87" i="1"/>
  <c r="AF88" i="1"/>
  <c r="AF89" i="1"/>
  <c r="AF90" i="1"/>
  <c r="AC81" i="1"/>
  <c r="AC82" i="1"/>
  <c r="AC83" i="1"/>
  <c r="AD83" i="1" s="1"/>
  <c r="AC84" i="1"/>
  <c r="AC85" i="1"/>
  <c r="AC86" i="1"/>
  <c r="AD86" i="1" s="1"/>
  <c r="AC87" i="1"/>
  <c r="AC88" i="1"/>
  <c r="AC89" i="1"/>
  <c r="AC90" i="1"/>
  <c r="Z81" i="1"/>
  <c r="Z82" i="1"/>
  <c r="Z83" i="1"/>
  <c r="Z84" i="1"/>
  <c r="Z85" i="1"/>
  <c r="Z86" i="1"/>
  <c r="Z87" i="1"/>
  <c r="Z88" i="1"/>
  <c r="AA88" i="1" s="1"/>
  <c r="Z89" i="1"/>
  <c r="AA89" i="1" s="1"/>
  <c r="Z90" i="1"/>
  <c r="W81" i="1"/>
  <c r="W82" i="1"/>
  <c r="W83" i="1"/>
  <c r="W84" i="1"/>
  <c r="W85" i="1"/>
  <c r="W86" i="1"/>
  <c r="W87" i="1"/>
  <c r="W88" i="1"/>
  <c r="W89" i="1"/>
  <c r="W90" i="1"/>
  <c r="X90" i="1" s="1"/>
  <c r="T81" i="1"/>
  <c r="U81" i="1" s="1"/>
  <c r="T82" i="1"/>
  <c r="T83" i="1"/>
  <c r="U83" i="1" s="1"/>
  <c r="T84" i="1"/>
  <c r="T85" i="1"/>
  <c r="T86" i="1"/>
  <c r="T87" i="1"/>
  <c r="T88" i="1"/>
  <c r="T89" i="1"/>
  <c r="T90" i="1"/>
  <c r="AF66" i="1"/>
  <c r="AF67" i="1"/>
  <c r="AG67" i="1" s="1"/>
  <c r="AF68" i="1"/>
  <c r="AG68" i="1" s="1"/>
  <c r="AF69" i="1"/>
  <c r="AG69" i="1" s="1"/>
  <c r="AF70" i="1"/>
  <c r="AF71" i="1"/>
  <c r="AF72" i="1"/>
  <c r="AF73" i="1"/>
  <c r="AG73" i="1" s="1"/>
  <c r="AF74" i="1"/>
  <c r="AF75" i="1"/>
  <c r="AC66" i="1"/>
  <c r="AC67" i="1"/>
  <c r="AC68" i="1"/>
  <c r="AD68" i="1" s="1"/>
  <c r="AC69" i="1"/>
  <c r="AC70" i="1"/>
  <c r="AC71" i="1"/>
  <c r="AD71" i="1" s="1"/>
  <c r="AC72" i="1"/>
  <c r="AC73" i="1"/>
  <c r="AC74" i="1"/>
  <c r="AC75" i="1"/>
  <c r="AD75" i="1" s="1"/>
  <c r="Z66" i="1"/>
  <c r="Z67" i="1"/>
  <c r="AA67" i="1" s="1"/>
  <c r="Z68" i="1"/>
  <c r="AA68" i="1" s="1"/>
  <c r="Z69" i="1"/>
  <c r="AA69" i="1" s="1"/>
  <c r="Z70" i="1"/>
  <c r="Z71" i="1"/>
  <c r="Z72" i="1"/>
  <c r="Z73" i="1"/>
  <c r="Z74" i="1"/>
  <c r="AA74" i="1" s="1"/>
  <c r="Z75" i="1"/>
  <c r="W66" i="1"/>
  <c r="W67" i="1"/>
  <c r="W68" i="1"/>
  <c r="W69" i="1"/>
  <c r="W70" i="1"/>
  <c r="W71" i="1"/>
  <c r="X71" i="1" s="1"/>
  <c r="W72" i="1"/>
  <c r="W73" i="1"/>
  <c r="W74" i="1"/>
  <c r="W75" i="1"/>
  <c r="T66" i="1"/>
  <c r="T67" i="1"/>
  <c r="T68" i="1"/>
  <c r="T69" i="1"/>
  <c r="T70" i="1"/>
  <c r="T71" i="1"/>
  <c r="U71" i="1" s="1"/>
  <c r="T72" i="1"/>
  <c r="T73" i="1"/>
  <c r="T74" i="1"/>
  <c r="T75" i="1"/>
  <c r="AF51" i="1"/>
  <c r="AF52" i="1"/>
  <c r="AF53" i="1"/>
  <c r="AF54" i="1"/>
  <c r="AF55" i="1"/>
  <c r="AF56" i="1"/>
  <c r="AF57" i="1"/>
  <c r="AF58" i="1"/>
  <c r="AF59" i="1"/>
  <c r="AF60" i="1"/>
  <c r="AG60" i="1" s="1"/>
  <c r="AC51" i="1"/>
  <c r="AC52" i="1"/>
  <c r="AD52" i="1" s="1"/>
  <c r="AC53" i="1"/>
  <c r="AC54" i="1"/>
  <c r="AD54" i="1" s="1"/>
  <c r="AC55" i="1"/>
  <c r="AD55" i="1" s="1"/>
  <c r="AC56" i="1"/>
  <c r="AC57" i="1"/>
  <c r="AC58" i="1"/>
  <c r="AC59" i="1"/>
  <c r="AD59" i="1" s="1"/>
  <c r="AC60" i="1"/>
  <c r="Z51" i="1"/>
  <c r="Z52" i="1"/>
  <c r="Z53" i="1"/>
  <c r="Z54" i="1"/>
  <c r="Z55" i="1"/>
  <c r="AA55" i="1" s="1"/>
  <c r="Z56" i="1"/>
  <c r="Z57" i="1"/>
  <c r="Z58" i="1"/>
  <c r="Z59" i="1"/>
  <c r="Z60" i="1"/>
  <c r="W51" i="1"/>
  <c r="W52" i="1"/>
  <c r="X52" i="1" s="1"/>
  <c r="W53" i="1"/>
  <c r="X53" i="1" s="1"/>
  <c r="W54" i="1"/>
  <c r="W55" i="1"/>
  <c r="X55" i="1" s="1"/>
  <c r="W56" i="1"/>
  <c r="W57" i="1"/>
  <c r="X57" i="1" s="1"/>
  <c r="W58" i="1"/>
  <c r="W59" i="1"/>
  <c r="W60" i="1"/>
  <c r="X6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T57" i="1"/>
  <c r="T58" i="1"/>
  <c r="T59" i="1"/>
  <c r="T60" i="1"/>
  <c r="U60" i="1" s="1"/>
  <c r="AG195" i="1"/>
  <c r="AD195" i="1"/>
  <c r="AA195" i="1"/>
  <c r="U195" i="1"/>
  <c r="AG194" i="1"/>
  <c r="AD194" i="1"/>
  <c r="AA194" i="1"/>
  <c r="X194" i="1"/>
  <c r="AD193" i="1"/>
  <c r="AA193" i="1"/>
  <c r="X193" i="1"/>
  <c r="U193" i="1"/>
  <c r="AG192" i="1"/>
  <c r="AD192" i="1"/>
  <c r="AA192" i="1"/>
  <c r="X192" i="1"/>
  <c r="U192" i="1"/>
  <c r="AG191" i="1"/>
  <c r="AD191" i="1"/>
  <c r="AA191" i="1"/>
  <c r="X191" i="1"/>
  <c r="U191" i="1"/>
  <c r="AD190" i="1"/>
  <c r="U190" i="1"/>
  <c r="AD189" i="1"/>
  <c r="U189" i="1"/>
  <c r="AG188" i="1"/>
  <c r="AD188" i="1"/>
  <c r="X188" i="1"/>
  <c r="U188" i="1"/>
  <c r="AG187" i="1"/>
  <c r="AD187" i="1"/>
  <c r="AA187" i="1"/>
  <c r="U187" i="1"/>
  <c r="AD186" i="1"/>
  <c r="AA186" i="1"/>
  <c r="X186" i="1"/>
  <c r="U186" i="1"/>
  <c r="AG180" i="1"/>
  <c r="AD180" i="1"/>
  <c r="AA180" i="1"/>
  <c r="X180" i="1"/>
  <c r="U180" i="1"/>
  <c r="AG179" i="1"/>
  <c r="AA179" i="1"/>
  <c r="X179" i="1"/>
  <c r="U179" i="1"/>
  <c r="AG178" i="1"/>
  <c r="AA178" i="1"/>
  <c r="X178" i="1"/>
  <c r="U178" i="1"/>
  <c r="AG177" i="1"/>
  <c r="AD177" i="1"/>
  <c r="AA177" i="1"/>
  <c r="X177" i="1"/>
  <c r="U177" i="1"/>
  <c r="AG176" i="1"/>
  <c r="AD176" i="1"/>
  <c r="AA176" i="1"/>
  <c r="X176" i="1"/>
  <c r="AG175" i="1"/>
  <c r="AD175" i="1"/>
  <c r="AA175" i="1"/>
  <c r="X175" i="1"/>
  <c r="U175" i="1"/>
  <c r="AD174" i="1"/>
  <c r="AA174" i="1"/>
  <c r="X174" i="1"/>
  <c r="AG173" i="1"/>
  <c r="AA173" i="1"/>
  <c r="X173" i="1"/>
  <c r="AG172" i="1"/>
  <c r="AD172" i="1"/>
  <c r="AA172" i="1"/>
  <c r="X172" i="1"/>
  <c r="U172" i="1"/>
  <c r="AG171" i="1"/>
  <c r="AD171" i="1"/>
  <c r="AA171" i="1"/>
  <c r="X171" i="1"/>
  <c r="AD165" i="1"/>
  <c r="U165" i="1"/>
  <c r="AG164" i="1"/>
  <c r="AD164" i="1"/>
  <c r="AA164" i="1"/>
  <c r="U164" i="1"/>
  <c r="AD163" i="1"/>
  <c r="AA163" i="1"/>
  <c r="U163" i="1"/>
  <c r="AG162" i="1"/>
  <c r="AD162" i="1"/>
  <c r="AA162" i="1"/>
  <c r="X162" i="1"/>
  <c r="U162" i="1"/>
  <c r="AG161" i="1"/>
  <c r="AD161" i="1"/>
  <c r="AA161" i="1"/>
  <c r="X161" i="1"/>
  <c r="U161" i="1"/>
  <c r="AA160" i="1"/>
  <c r="X160" i="1"/>
  <c r="AD159" i="1"/>
  <c r="AA159" i="1"/>
  <c r="X159" i="1"/>
  <c r="U159" i="1"/>
  <c r="AG158" i="1"/>
  <c r="AG157" i="1"/>
  <c r="AD157" i="1"/>
  <c r="AA157" i="1"/>
  <c r="X157" i="1"/>
  <c r="U157" i="1"/>
  <c r="AG156" i="1"/>
  <c r="AD156" i="1"/>
  <c r="AA156" i="1"/>
  <c r="X156" i="1"/>
  <c r="U156" i="1"/>
  <c r="AG150" i="1"/>
  <c r="AD150" i="1"/>
  <c r="U150" i="1"/>
  <c r="AD149" i="1"/>
  <c r="AA149" i="1"/>
  <c r="X149" i="1"/>
  <c r="U149" i="1"/>
  <c r="AG148" i="1"/>
  <c r="AD148" i="1"/>
  <c r="AA148" i="1"/>
  <c r="X148" i="1"/>
  <c r="U148" i="1"/>
  <c r="AG147" i="1"/>
  <c r="AD147" i="1"/>
  <c r="AA147" i="1"/>
  <c r="X147" i="1"/>
  <c r="U147" i="1"/>
  <c r="AG146" i="1"/>
  <c r="X146" i="1"/>
  <c r="U146" i="1"/>
  <c r="AG145" i="1"/>
  <c r="AD145" i="1"/>
  <c r="AA145" i="1"/>
  <c r="X145" i="1"/>
  <c r="AG144" i="1"/>
  <c r="AD144" i="1"/>
  <c r="X144" i="1"/>
  <c r="AG143" i="1"/>
  <c r="AD143" i="1"/>
  <c r="AA143" i="1"/>
  <c r="X143" i="1"/>
  <c r="AG142" i="1"/>
  <c r="X142" i="1"/>
  <c r="U142" i="1"/>
  <c r="AG141" i="1"/>
  <c r="AD141" i="1"/>
  <c r="AA141" i="1"/>
  <c r="X141" i="1"/>
  <c r="U141" i="1"/>
  <c r="AG135" i="1"/>
  <c r="AD135" i="1"/>
  <c r="AA135" i="1"/>
  <c r="AG134" i="1"/>
  <c r="AD134" i="1"/>
  <c r="AA134" i="1"/>
  <c r="X134" i="1"/>
  <c r="AG133" i="1"/>
  <c r="AD133" i="1"/>
  <c r="AA133" i="1"/>
  <c r="X133" i="1"/>
  <c r="U133" i="1"/>
  <c r="AG132" i="1"/>
  <c r="AD132" i="1"/>
  <c r="AA132" i="1"/>
  <c r="U132" i="1"/>
  <c r="AG131" i="1"/>
  <c r="AD131" i="1"/>
  <c r="AA131" i="1"/>
  <c r="U131" i="1"/>
  <c r="AG130" i="1"/>
  <c r="AD130" i="1"/>
  <c r="AA130" i="1"/>
  <c r="X130" i="1"/>
  <c r="U130" i="1"/>
  <c r="AG129" i="1"/>
  <c r="AD129" i="1"/>
  <c r="X129" i="1"/>
  <c r="U129" i="1"/>
  <c r="AG128" i="1"/>
  <c r="AA128" i="1"/>
  <c r="AG127" i="1"/>
  <c r="AD127" i="1"/>
  <c r="AA127" i="1"/>
  <c r="X127" i="1"/>
  <c r="U127" i="1"/>
  <c r="AG126" i="1"/>
  <c r="AD126" i="1"/>
  <c r="U126" i="1"/>
  <c r="AG120" i="1"/>
  <c r="AD120" i="1"/>
  <c r="AA120" i="1"/>
  <c r="X120" i="1"/>
  <c r="U120" i="1"/>
  <c r="AG119" i="1"/>
  <c r="AA119" i="1"/>
  <c r="X119" i="1"/>
  <c r="U119" i="1"/>
  <c r="AG118" i="1"/>
  <c r="AA118" i="1"/>
  <c r="X118" i="1"/>
  <c r="U118" i="1"/>
  <c r="AD117" i="1"/>
  <c r="X117" i="1"/>
  <c r="U117" i="1"/>
  <c r="AG116" i="1"/>
  <c r="AD116" i="1"/>
  <c r="AA116" i="1"/>
  <c r="X116" i="1"/>
  <c r="AA115" i="1"/>
  <c r="X115" i="1"/>
  <c r="U115" i="1"/>
  <c r="AD114" i="1"/>
  <c r="AG113" i="1"/>
  <c r="AA113" i="1"/>
  <c r="U113" i="1"/>
  <c r="AG112" i="1"/>
  <c r="X112" i="1"/>
  <c r="AG111" i="1"/>
  <c r="AD111" i="1"/>
  <c r="X111" i="1"/>
  <c r="U111" i="1"/>
  <c r="AG105" i="1"/>
  <c r="AD105" i="1"/>
  <c r="X105" i="1"/>
  <c r="U105" i="1"/>
  <c r="AG104" i="1"/>
  <c r="X104" i="1"/>
  <c r="U104" i="1"/>
  <c r="AD103" i="1"/>
  <c r="AA103" i="1"/>
  <c r="X103" i="1"/>
  <c r="U103" i="1"/>
  <c r="AG102" i="1"/>
  <c r="AD102" i="1"/>
  <c r="AA102" i="1"/>
  <c r="U102" i="1"/>
  <c r="AG101" i="1"/>
  <c r="AD101" i="1"/>
  <c r="U101" i="1"/>
  <c r="AA100" i="1"/>
  <c r="X100" i="1"/>
  <c r="U100" i="1"/>
  <c r="AD99" i="1"/>
  <c r="X99" i="1"/>
  <c r="U99" i="1"/>
  <c r="AG98" i="1"/>
  <c r="X98" i="1"/>
  <c r="AG97" i="1"/>
  <c r="AA97" i="1"/>
  <c r="X97" i="1"/>
  <c r="AD96" i="1"/>
  <c r="X96" i="1"/>
  <c r="U96" i="1"/>
  <c r="AG90" i="1"/>
  <c r="AD90" i="1"/>
  <c r="AA90" i="1"/>
  <c r="U90" i="1"/>
  <c r="AG89" i="1"/>
  <c r="AD89" i="1"/>
  <c r="X89" i="1"/>
  <c r="U89" i="1"/>
  <c r="AG88" i="1"/>
  <c r="AD88" i="1"/>
  <c r="X88" i="1"/>
  <c r="U88" i="1"/>
  <c r="AG87" i="1"/>
  <c r="AD87" i="1"/>
  <c r="AA87" i="1"/>
  <c r="X87" i="1"/>
  <c r="U87" i="1"/>
  <c r="AA86" i="1"/>
  <c r="X86" i="1"/>
  <c r="U86" i="1"/>
  <c r="AG85" i="1"/>
  <c r="AD85" i="1"/>
  <c r="AA85" i="1"/>
  <c r="X85" i="1"/>
  <c r="U85" i="1"/>
  <c r="AD84" i="1"/>
  <c r="AA84" i="1"/>
  <c r="X84" i="1"/>
  <c r="U84" i="1"/>
  <c r="AA83" i="1"/>
  <c r="X83" i="1"/>
  <c r="AG82" i="1"/>
  <c r="AD82" i="1"/>
  <c r="AA82" i="1"/>
  <c r="X82" i="1"/>
  <c r="U82" i="1"/>
  <c r="AG81" i="1"/>
  <c r="AD81" i="1"/>
  <c r="AA81" i="1"/>
  <c r="X81" i="1"/>
  <c r="AG75" i="1"/>
  <c r="AA75" i="1"/>
  <c r="X75" i="1"/>
  <c r="U75" i="1"/>
  <c r="AG74" i="1"/>
  <c r="AD74" i="1"/>
  <c r="X74" i="1"/>
  <c r="U74" i="1"/>
  <c r="AD73" i="1"/>
  <c r="AA73" i="1"/>
  <c r="X73" i="1"/>
  <c r="U73" i="1"/>
  <c r="AG72" i="1"/>
  <c r="AD72" i="1"/>
  <c r="AA72" i="1"/>
  <c r="X72" i="1"/>
  <c r="U72" i="1"/>
  <c r="AG71" i="1"/>
  <c r="AA71" i="1"/>
  <c r="AG70" i="1"/>
  <c r="AD70" i="1"/>
  <c r="AA70" i="1"/>
  <c r="X70" i="1"/>
  <c r="U70" i="1"/>
  <c r="AD69" i="1"/>
  <c r="X69" i="1"/>
  <c r="U69" i="1"/>
  <c r="X68" i="1"/>
  <c r="U68" i="1"/>
  <c r="AD67" i="1"/>
  <c r="X67" i="1"/>
  <c r="U67" i="1"/>
  <c r="AG66" i="1"/>
  <c r="AD66" i="1"/>
  <c r="AA66" i="1"/>
  <c r="X66" i="1"/>
  <c r="U66" i="1"/>
  <c r="AD60" i="1"/>
  <c r="AA60" i="1"/>
  <c r="AG59" i="1"/>
  <c r="AA59" i="1"/>
  <c r="X59" i="1"/>
  <c r="U59" i="1"/>
  <c r="AG58" i="1"/>
  <c r="AD58" i="1"/>
  <c r="AA58" i="1"/>
  <c r="X58" i="1"/>
  <c r="U58" i="1"/>
  <c r="AG57" i="1"/>
  <c r="AD57" i="1"/>
  <c r="AA57" i="1"/>
  <c r="U57" i="1"/>
  <c r="AG56" i="1"/>
  <c r="AD56" i="1"/>
  <c r="AA56" i="1"/>
  <c r="X56" i="1"/>
  <c r="U56" i="1"/>
  <c r="AG55" i="1"/>
  <c r="AG54" i="1"/>
  <c r="AA54" i="1"/>
  <c r="X54" i="1"/>
  <c r="AG53" i="1"/>
  <c r="AD53" i="1"/>
  <c r="AA53" i="1"/>
  <c r="AG52" i="1"/>
  <c r="AA52" i="1"/>
  <c r="AG51" i="1"/>
  <c r="AD51" i="1"/>
  <c r="AA51" i="1"/>
  <c r="X51" i="1"/>
  <c r="K186" i="1"/>
  <c r="K187" i="1"/>
  <c r="L187" i="1" s="1"/>
  <c r="K188" i="1"/>
  <c r="L188" i="1" s="1"/>
  <c r="K189" i="1"/>
  <c r="L189" i="1" s="1"/>
  <c r="K190" i="1"/>
  <c r="K191" i="1"/>
  <c r="K192" i="1"/>
  <c r="K193" i="1"/>
  <c r="L193" i="1" s="1"/>
  <c r="K194" i="1"/>
  <c r="K195" i="1"/>
  <c r="N186" i="1"/>
  <c r="O186" i="1" s="1"/>
  <c r="O196" i="1" s="1"/>
  <c r="N187" i="1"/>
  <c r="N188" i="1"/>
  <c r="N189" i="1"/>
  <c r="N190" i="1"/>
  <c r="N191" i="1"/>
  <c r="N192" i="1"/>
  <c r="N193" i="1"/>
  <c r="N194" i="1"/>
  <c r="N195" i="1"/>
  <c r="H186" i="1"/>
  <c r="I186" i="1" s="1"/>
  <c r="H187" i="1"/>
  <c r="H188" i="1"/>
  <c r="H189" i="1"/>
  <c r="I189" i="1" s="1"/>
  <c r="I196" i="1" s="1"/>
  <c r="H190" i="1"/>
  <c r="H191" i="1"/>
  <c r="H192" i="1"/>
  <c r="H193" i="1"/>
  <c r="H194" i="1"/>
  <c r="I194" i="1" s="1"/>
  <c r="H195" i="1"/>
  <c r="I195" i="1" s="1"/>
  <c r="E186" i="1"/>
  <c r="E187" i="1"/>
  <c r="F187" i="1" s="1"/>
  <c r="E188" i="1"/>
  <c r="E189" i="1"/>
  <c r="E190" i="1"/>
  <c r="F190" i="1" s="1"/>
  <c r="E191" i="1"/>
  <c r="E192" i="1"/>
  <c r="E193" i="1"/>
  <c r="E194" i="1"/>
  <c r="E195" i="1"/>
  <c r="F195" i="1" s="1"/>
  <c r="B186" i="1"/>
  <c r="B187" i="1"/>
  <c r="B188" i="1"/>
  <c r="B189" i="1"/>
  <c r="C189" i="1" s="1"/>
  <c r="B190" i="1"/>
  <c r="C190" i="1" s="1"/>
  <c r="B191" i="1"/>
  <c r="B192" i="1"/>
  <c r="B193" i="1"/>
  <c r="B194" i="1"/>
  <c r="B195" i="1"/>
  <c r="N171" i="1"/>
  <c r="N172" i="1"/>
  <c r="O172" i="1" s="1"/>
  <c r="N173" i="1"/>
  <c r="N174" i="1"/>
  <c r="N175" i="1"/>
  <c r="O175" i="1" s="1"/>
  <c r="N176" i="1"/>
  <c r="N177" i="1"/>
  <c r="N178" i="1"/>
  <c r="N179" i="1"/>
  <c r="N180" i="1"/>
  <c r="K171" i="1"/>
  <c r="K172" i="1"/>
  <c r="L172" i="1" s="1"/>
  <c r="L181" i="1" s="1"/>
  <c r="K173" i="1"/>
  <c r="K174" i="1"/>
  <c r="K175" i="1"/>
  <c r="K176" i="1"/>
  <c r="L176" i="1" s="1"/>
  <c r="K177" i="1"/>
  <c r="K178" i="1"/>
  <c r="K179" i="1"/>
  <c r="K180" i="1"/>
  <c r="H171" i="1"/>
  <c r="H172" i="1"/>
  <c r="H173" i="1"/>
  <c r="H174" i="1"/>
  <c r="I174" i="1" s="1"/>
  <c r="H175" i="1"/>
  <c r="H176" i="1"/>
  <c r="H177" i="1"/>
  <c r="H178" i="1"/>
  <c r="H179" i="1"/>
  <c r="H180" i="1"/>
  <c r="E171" i="1"/>
  <c r="E172" i="1"/>
  <c r="E173" i="1"/>
  <c r="E174" i="1"/>
  <c r="E175" i="1"/>
  <c r="E176" i="1"/>
  <c r="E177" i="1"/>
  <c r="E178" i="1"/>
  <c r="E179" i="1"/>
  <c r="E180" i="1"/>
  <c r="B171" i="1"/>
  <c r="B172" i="1"/>
  <c r="C172" i="1" s="1"/>
  <c r="B173" i="1"/>
  <c r="B174" i="1"/>
  <c r="B175" i="1"/>
  <c r="B176" i="1"/>
  <c r="C176" i="1" s="1"/>
  <c r="B177" i="1"/>
  <c r="B178" i="1"/>
  <c r="B179" i="1"/>
  <c r="B180" i="1"/>
  <c r="C180" i="1" s="1"/>
  <c r="N156" i="1"/>
  <c r="N157" i="1"/>
  <c r="N158" i="1"/>
  <c r="N159" i="1"/>
  <c r="N160" i="1"/>
  <c r="O160" i="1" s="1"/>
  <c r="N161" i="1"/>
  <c r="N162" i="1"/>
  <c r="N163" i="1"/>
  <c r="N164" i="1"/>
  <c r="O164" i="1" s="1"/>
  <c r="N165" i="1"/>
  <c r="K156" i="1"/>
  <c r="K157" i="1"/>
  <c r="K158" i="1"/>
  <c r="L158" i="1" s="1"/>
  <c r="K159" i="1"/>
  <c r="K160" i="1"/>
  <c r="K161" i="1"/>
  <c r="K162" i="1"/>
  <c r="L162" i="1" s="1"/>
  <c r="K163" i="1"/>
  <c r="K164" i="1"/>
  <c r="K165" i="1"/>
  <c r="L165" i="1" s="1"/>
  <c r="H156" i="1"/>
  <c r="H157" i="1"/>
  <c r="I157" i="1" s="1"/>
  <c r="H158" i="1"/>
  <c r="I158" i="1" s="1"/>
  <c r="H159" i="1"/>
  <c r="H160" i="1"/>
  <c r="I160" i="1" s="1"/>
  <c r="H161" i="1"/>
  <c r="H162" i="1"/>
  <c r="H163" i="1"/>
  <c r="I163" i="1" s="1"/>
  <c r="H164" i="1"/>
  <c r="H165" i="1"/>
  <c r="E156" i="1"/>
  <c r="E157" i="1"/>
  <c r="E158" i="1"/>
  <c r="E159" i="1"/>
  <c r="E160" i="1"/>
  <c r="E161" i="1"/>
  <c r="E162" i="1"/>
  <c r="E163" i="1"/>
  <c r="E164" i="1"/>
  <c r="E165" i="1"/>
  <c r="B156" i="1"/>
  <c r="B157" i="1"/>
  <c r="B158" i="1"/>
  <c r="C158" i="1" s="1"/>
  <c r="B159" i="1"/>
  <c r="B160" i="1"/>
  <c r="B161" i="1"/>
  <c r="B162" i="1"/>
  <c r="B163" i="1"/>
  <c r="B164" i="1"/>
  <c r="B165" i="1"/>
  <c r="N141" i="1"/>
  <c r="O141" i="1" s="1"/>
  <c r="O151" i="1" s="1"/>
  <c r="N142" i="1"/>
  <c r="N143" i="1"/>
  <c r="N144" i="1"/>
  <c r="O144" i="1" s="1"/>
  <c r="N145" i="1"/>
  <c r="N146" i="1"/>
  <c r="N147" i="1"/>
  <c r="O147" i="1" s="1"/>
  <c r="N148" i="1"/>
  <c r="N149" i="1"/>
  <c r="N150" i="1"/>
  <c r="O150" i="1" s="1"/>
  <c r="K141" i="1"/>
  <c r="K142" i="1"/>
  <c r="K143" i="1"/>
  <c r="L143" i="1" s="1"/>
  <c r="K144" i="1"/>
  <c r="K145" i="1"/>
  <c r="K146" i="1"/>
  <c r="K147" i="1"/>
  <c r="K148" i="1"/>
  <c r="K149" i="1"/>
  <c r="K150" i="1"/>
  <c r="L150" i="1" s="1"/>
  <c r="H141" i="1"/>
  <c r="I141" i="1" s="1"/>
  <c r="I151" i="1" s="1"/>
  <c r="H142" i="1"/>
  <c r="H143" i="1"/>
  <c r="H144" i="1"/>
  <c r="I144" i="1" s="1"/>
  <c r="H145" i="1"/>
  <c r="I145" i="1" s="1"/>
  <c r="H146" i="1"/>
  <c r="I146" i="1" s="1"/>
  <c r="H147" i="1"/>
  <c r="H148" i="1"/>
  <c r="H149" i="1"/>
  <c r="H150" i="1"/>
  <c r="E141" i="1"/>
  <c r="E142" i="1"/>
  <c r="E143" i="1"/>
  <c r="E144" i="1"/>
  <c r="F144" i="1" s="1"/>
  <c r="E145" i="1"/>
  <c r="E146" i="1"/>
  <c r="F146" i="1" s="1"/>
  <c r="E147" i="1"/>
  <c r="E148" i="1"/>
  <c r="E149" i="1"/>
  <c r="E150" i="1"/>
  <c r="B141" i="1"/>
  <c r="B142" i="1"/>
  <c r="B143" i="1"/>
  <c r="B144" i="1"/>
  <c r="B145" i="1"/>
  <c r="B146" i="1"/>
  <c r="B147" i="1"/>
  <c r="B148" i="1"/>
  <c r="B149" i="1"/>
  <c r="B150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N133" i="1"/>
  <c r="N134" i="1"/>
  <c r="N135" i="1"/>
  <c r="O135" i="1" s="1"/>
  <c r="K126" i="1"/>
  <c r="K127" i="1"/>
  <c r="K128" i="1"/>
  <c r="K129" i="1"/>
  <c r="L129" i="1" s="1"/>
  <c r="K130" i="1"/>
  <c r="K131" i="1"/>
  <c r="K132" i="1"/>
  <c r="K133" i="1"/>
  <c r="K134" i="1"/>
  <c r="L134" i="1" s="1"/>
  <c r="K135" i="1"/>
  <c r="H126" i="1"/>
  <c r="H127" i="1"/>
  <c r="H128" i="1"/>
  <c r="H129" i="1"/>
  <c r="H130" i="1"/>
  <c r="I130" i="1" s="1"/>
  <c r="H131" i="1"/>
  <c r="H132" i="1"/>
  <c r="H133" i="1"/>
  <c r="H134" i="1"/>
  <c r="H135" i="1"/>
  <c r="I135" i="1" s="1"/>
  <c r="E126" i="1"/>
  <c r="E127" i="1"/>
  <c r="F127" i="1" s="1"/>
  <c r="E128" i="1"/>
  <c r="E129" i="1"/>
  <c r="E130" i="1"/>
  <c r="E131" i="1"/>
  <c r="E132" i="1"/>
  <c r="E133" i="1"/>
  <c r="E134" i="1"/>
  <c r="E135" i="1"/>
  <c r="F135" i="1" s="1"/>
  <c r="B126" i="1"/>
  <c r="B127" i="1"/>
  <c r="C127" i="1" s="1"/>
  <c r="B128" i="1"/>
  <c r="C128" i="1" s="1"/>
  <c r="B129" i="1"/>
  <c r="B130" i="1"/>
  <c r="C130" i="1" s="1"/>
  <c r="B131" i="1"/>
  <c r="B132" i="1"/>
  <c r="B133" i="1"/>
  <c r="B134" i="1"/>
  <c r="B135" i="1"/>
  <c r="N111" i="1"/>
  <c r="N112" i="1"/>
  <c r="O112" i="1" s="1"/>
  <c r="N113" i="1"/>
  <c r="N114" i="1"/>
  <c r="O114" i="1" s="1"/>
  <c r="N115" i="1"/>
  <c r="N116" i="1"/>
  <c r="N117" i="1"/>
  <c r="N118" i="1"/>
  <c r="N119" i="1"/>
  <c r="O119" i="1" s="1"/>
  <c r="N120" i="1"/>
  <c r="O120" i="1" s="1"/>
  <c r="K111" i="1"/>
  <c r="L111" i="1" s="1"/>
  <c r="K112" i="1"/>
  <c r="K113" i="1"/>
  <c r="K114" i="1"/>
  <c r="K115" i="1"/>
  <c r="K116" i="1"/>
  <c r="K117" i="1"/>
  <c r="K118" i="1"/>
  <c r="K119" i="1"/>
  <c r="K120" i="1"/>
  <c r="H111" i="1"/>
  <c r="H112" i="1"/>
  <c r="H113" i="1"/>
  <c r="H114" i="1"/>
  <c r="H115" i="1"/>
  <c r="H116" i="1"/>
  <c r="H117" i="1"/>
  <c r="I117" i="1" s="1"/>
  <c r="H118" i="1"/>
  <c r="H119" i="1"/>
  <c r="H120" i="1"/>
  <c r="I120" i="1" s="1"/>
  <c r="E111" i="1"/>
  <c r="F111" i="1" s="1"/>
  <c r="E112" i="1"/>
  <c r="F112" i="1" s="1"/>
  <c r="E113" i="1"/>
  <c r="E114" i="1"/>
  <c r="E115" i="1"/>
  <c r="F115" i="1" s="1"/>
  <c r="E116" i="1"/>
  <c r="E117" i="1"/>
  <c r="E118" i="1"/>
  <c r="E119" i="1"/>
  <c r="E120" i="1"/>
  <c r="F120" i="1" s="1"/>
  <c r="B111" i="1"/>
  <c r="B112" i="1"/>
  <c r="B113" i="1"/>
  <c r="C113" i="1" s="1"/>
  <c r="B114" i="1"/>
  <c r="B115" i="1"/>
  <c r="C115" i="1" s="1"/>
  <c r="B116" i="1"/>
  <c r="B117" i="1"/>
  <c r="C117" i="1" s="1"/>
  <c r="B118" i="1"/>
  <c r="B119" i="1"/>
  <c r="B120" i="1"/>
  <c r="C120" i="1" s="1"/>
  <c r="N96" i="1"/>
  <c r="N97" i="1"/>
  <c r="N98" i="1"/>
  <c r="N99" i="1"/>
  <c r="N100" i="1"/>
  <c r="O100" i="1" s="1"/>
  <c r="N101" i="1"/>
  <c r="N102" i="1"/>
  <c r="N103" i="1"/>
  <c r="N104" i="1"/>
  <c r="N105" i="1"/>
  <c r="K96" i="1"/>
  <c r="K97" i="1"/>
  <c r="K98" i="1"/>
  <c r="L98" i="1" s="1"/>
  <c r="K99" i="1"/>
  <c r="K100" i="1"/>
  <c r="K101" i="1"/>
  <c r="K102" i="1"/>
  <c r="K103" i="1"/>
  <c r="K104" i="1"/>
  <c r="L104" i="1" s="1"/>
  <c r="K105" i="1"/>
  <c r="L105" i="1" s="1"/>
  <c r="H96" i="1"/>
  <c r="H97" i="1"/>
  <c r="H98" i="1"/>
  <c r="H99" i="1"/>
  <c r="H100" i="1"/>
  <c r="H101" i="1"/>
  <c r="H102" i="1"/>
  <c r="H103" i="1"/>
  <c r="H104" i="1"/>
  <c r="H105" i="1"/>
  <c r="E96" i="1"/>
  <c r="E97" i="1"/>
  <c r="F97" i="1" s="1"/>
  <c r="E98" i="1"/>
  <c r="F98" i="1" s="1"/>
  <c r="E99" i="1"/>
  <c r="E100" i="1"/>
  <c r="F100" i="1" s="1"/>
  <c r="E101" i="1"/>
  <c r="E102" i="1"/>
  <c r="E103" i="1"/>
  <c r="E104" i="1"/>
  <c r="F104" i="1" s="1"/>
  <c r="E105" i="1"/>
  <c r="F105" i="1" s="1"/>
  <c r="B96" i="1"/>
  <c r="B97" i="1"/>
  <c r="B98" i="1"/>
  <c r="C98" i="1" s="1"/>
  <c r="B99" i="1"/>
  <c r="B100" i="1"/>
  <c r="C100" i="1" s="1"/>
  <c r="B101" i="1"/>
  <c r="B102" i="1"/>
  <c r="B103" i="1"/>
  <c r="B104" i="1"/>
  <c r="B105" i="1"/>
  <c r="N81" i="1"/>
  <c r="N82" i="1"/>
  <c r="N83" i="1"/>
  <c r="O83" i="1" s="1"/>
  <c r="N84" i="1"/>
  <c r="N85" i="1"/>
  <c r="N86" i="1"/>
  <c r="N87" i="1"/>
  <c r="N88" i="1"/>
  <c r="N89" i="1"/>
  <c r="N90" i="1"/>
  <c r="K81" i="1"/>
  <c r="K82" i="1"/>
  <c r="K83" i="1"/>
  <c r="K84" i="1"/>
  <c r="K85" i="1"/>
  <c r="L85" i="1" s="1"/>
  <c r="K86" i="1"/>
  <c r="K87" i="1"/>
  <c r="K88" i="1"/>
  <c r="K89" i="1"/>
  <c r="K90" i="1"/>
  <c r="H81" i="1"/>
  <c r="I81" i="1" s="1"/>
  <c r="H82" i="1"/>
  <c r="I82" i="1" s="1"/>
  <c r="H83" i="1"/>
  <c r="I83" i="1" s="1"/>
  <c r="H84" i="1"/>
  <c r="H85" i="1"/>
  <c r="H86" i="1"/>
  <c r="I86" i="1" s="1"/>
  <c r="H87" i="1"/>
  <c r="H88" i="1"/>
  <c r="I88" i="1" s="1"/>
  <c r="H89" i="1"/>
  <c r="H90" i="1"/>
  <c r="E81" i="1"/>
  <c r="E82" i="1"/>
  <c r="E83" i="1"/>
  <c r="F83" i="1" s="1"/>
  <c r="E84" i="1"/>
  <c r="E85" i="1"/>
  <c r="E86" i="1"/>
  <c r="E87" i="1"/>
  <c r="E88" i="1"/>
  <c r="F88" i="1" s="1"/>
  <c r="E89" i="1"/>
  <c r="F89" i="1" s="1"/>
  <c r="E90" i="1"/>
  <c r="F90" i="1" s="1"/>
  <c r="B81" i="1"/>
  <c r="B82" i="1"/>
  <c r="B83" i="1"/>
  <c r="B84" i="1"/>
  <c r="C84" i="1" s="1"/>
  <c r="B85" i="1"/>
  <c r="B86" i="1"/>
  <c r="B87" i="1"/>
  <c r="B88" i="1"/>
  <c r="B89" i="1"/>
  <c r="B90" i="1"/>
  <c r="N66" i="1"/>
  <c r="O66" i="1" s="1"/>
  <c r="O76" i="1" s="1"/>
  <c r="N67" i="1"/>
  <c r="N68" i="1"/>
  <c r="N69" i="1"/>
  <c r="N70" i="1"/>
  <c r="N71" i="1"/>
  <c r="N72" i="1"/>
  <c r="O72" i="1" s="1"/>
  <c r="N73" i="1"/>
  <c r="N74" i="1"/>
  <c r="N75" i="1"/>
  <c r="K66" i="1"/>
  <c r="K67" i="1"/>
  <c r="L67" i="1" s="1"/>
  <c r="K68" i="1"/>
  <c r="L68" i="1" s="1"/>
  <c r="K69" i="1"/>
  <c r="K70" i="1"/>
  <c r="L70" i="1" s="1"/>
  <c r="K71" i="1"/>
  <c r="L71" i="1" s="1"/>
  <c r="K72" i="1"/>
  <c r="K73" i="1"/>
  <c r="K74" i="1"/>
  <c r="K75" i="1"/>
  <c r="H66" i="1"/>
  <c r="H67" i="1"/>
  <c r="H68" i="1"/>
  <c r="H69" i="1"/>
  <c r="I69" i="1" s="1"/>
  <c r="H70" i="1"/>
  <c r="H71" i="1"/>
  <c r="I71" i="1" s="1"/>
  <c r="H72" i="1"/>
  <c r="H73" i="1"/>
  <c r="H74" i="1"/>
  <c r="H75" i="1"/>
  <c r="E66" i="1"/>
  <c r="E67" i="1"/>
  <c r="E68" i="1"/>
  <c r="E69" i="1"/>
  <c r="E70" i="1"/>
  <c r="E71" i="1"/>
  <c r="E72" i="1"/>
  <c r="E73" i="1"/>
  <c r="E74" i="1"/>
  <c r="E75" i="1"/>
  <c r="F75" i="1" s="1"/>
  <c r="B66" i="1"/>
  <c r="B67" i="1"/>
  <c r="B68" i="1"/>
  <c r="C68" i="1" s="1"/>
  <c r="B69" i="1"/>
  <c r="C69" i="1" s="1"/>
  <c r="B70" i="1"/>
  <c r="B71" i="1"/>
  <c r="C71" i="1" s="1"/>
  <c r="B72" i="1"/>
  <c r="B73" i="1"/>
  <c r="B74" i="1"/>
  <c r="B75" i="1"/>
  <c r="N51" i="1"/>
  <c r="O51" i="1" s="1"/>
  <c r="N52" i="1"/>
  <c r="N53" i="1"/>
  <c r="N54" i="1"/>
  <c r="O54" i="1" s="1"/>
  <c r="N55" i="1"/>
  <c r="N56" i="1"/>
  <c r="N57" i="1"/>
  <c r="N58" i="1"/>
  <c r="N59" i="1"/>
  <c r="O59" i="1" s="1"/>
  <c r="N60" i="1"/>
  <c r="K51" i="1"/>
  <c r="K52" i="1"/>
  <c r="K53" i="1"/>
  <c r="L53" i="1" s="1"/>
  <c r="K54" i="1"/>
  <c r="K55" i="1"/>
  <c r="K56" i="1"/>
  <c r="L56" i="1" s="1"/>
  <c r="K57" i="1"/>
  <c r="K58" i="1"/>
  <c r="K59" i="1"/>
  <c r="K60" i="1"/>
  <c r="L60" i="1" s="1"/>
  <c r="H51" i="1"/>
  <c r="H52" i="1"/>
  <c r="I52" i="1" s="1"/>
  <c r="H53" i="1"/>
  <c r="H54" i="1"/>
  <c r="I54" i="1" s="1"/>
  <c r="H55" i="1"/>
  <c r="I55" i="1" s="1"/>
  <c r="H56" i="1"/>
  <c r="I56" i="1" s="1"/>
  <c r="H57" i="1"/>
  <c r="I57" i="1" s="1"/>
  <c r="H58" i="1"/>
  <c r="H59" i="1"/>
  <c r="H60" i="1"/>
  <c r="E51" i="1"/>
  <c r="F51" i="1" s="1"/>
  <c r="E52" i="1"/>
  <c r="F52" i="1" s="1"/>
  <c r="E53" i="1"/>
  <c r="E54" i="1"/>
  <c r="F54" i="1" s="1"/>
  <c r="E55" i="1"/>
  <c r="F55" i="1" s="1"/>
  <c r="E56" i="1"/>
  <c r="E57" i="1"/>
  <c r="E58" i="1"/>
  <c r="E59" i="1"/>
  <c r="F59" i="1" s="1"/>
  <c r="E60" i="1"/>
  <c r="B51" i="1"/>
  <c r="C51" i="1" s="1"/>
  <c r="B52" i="1"/>
  <c r="B53" i="1"/>
  <c r="B54" i="1"/>
  <c r="C54" i="1" s="1"/>
  <c r="B55" i="1"/>
  <c r="B56" i="1"/>
  <c r="B57" i="1"/>
  <c r="B58" i="1"/>
  <c r="C58" i="1" s="1"/>
  <c r="B59" i="1"/>
  <c r="C59" i="1" s="1"/>
  <c r="B60" i="1"/>
  <c r="O57" i="1"/>
  <c r="O58" i="1"/>
  <c r="L51" i="1"/>
  <c r="L52" i="1"/>
  <c r="L54" i="1"/>
  <c r="I51" i="1"/>
  <c r="I53" i="1"/>
  <c r="I60" i="1"/>
  <c r="F53" i="1"/>
  <c r="C52" i="1"/>
  <c r="C53" i="1"/>
  <c r="C60" i="1"/>
  <c r="O195" i="1"/>
  <c r="L195" i="1"/>
  <c r="C195" i="1"/>
  <c r="O194" i="1"/>
  <c r="L194" i="1"/>
  <c r="F194" i="1"/>
  <c r="C194" i="1"/>
  <c r="O193" i="1"/>
  <c r="I193" i="1"/>
  <c r="F193" i="1"/>
  <c r="C193" i="1"/>
  <c r="O192" i="1"/>
  <c r="L192" i="1"/>
  <c r="I192" i="1"/>
  <c r="F192" i="1"/>
  <c r="C192" i="1"/>
  <c r="O191" i="1"/>
  <c r="L191" i="1"/>
  <c r="I191" i="1"/>
  <c r="F191" i="1"/>
  <c r="C191" i="1"/>
  <c r="O190" i="1"/>
  <c r="L190" i="1"/>
  <c r="I190" i="1"/>
  <c r="O189" i="1"/>
  <c r="F189" i="1"/>
  <c r="O188" i="1"/>
  <c r="I188" i="1"/>
  <c r="F188" i="1"/>
  <c r="C188" i="1"/>
  <c r="O187" i="1"/>
  <c r="I187" i="1"/>
  <c r="C187" i="1"/>
  <c r="L186" i="1"/>
  <c r="F186" i="1"/>
  <c r="C186" i="1"/>
  <c r="O180" i="1"/>
  <c r="L180" i="1"/>
  <c r="I180" i="1"/>
  <c r="F180" i="1"/>
  <c r="O179" i="1"/>
  <c r="L179" i="1"/>
  <c r="I179" i="1"/>
  <c r="F179" i="1"/>
  <c r="C179" i="1"/>
  <c r="O178" i="1"/>
  <c r="L178" i="1"/>
  <c r="I178" i="1"/>
  <c r="F178" i="1"/>
  <c r="C178" i="1"/>
  <c r="O177" i="1"/>
  <c r="L177" i="1"/>
  <c r="I177" i="1"/>
  <c r="F177" i="1"/>
  <c r="C177" i="1"/>
  <c r="O176" i="1"/>
  <c r="I176" i="1"/>
  <c r="F176" i="1"/>
  <c r="L175" i="1"/>
  <c r="I175" i="1"/>
  <c r="F175" i="1"/>
  <c r="C175" i="1"/>
  <c r="O174" i="1"/>
  <c r="L174" i="1"/>
  <c r="F174" i="1"/>
  <c r="C174" i="1"/>
  <c r="O173" i="1"/>
  <c r="L173" i="1"/>
  <c r="I173" i="1"/>
  <c r="F173" i="1"/>
  <c r="C173" i="1"/>
  <c r="I172" i="1"/>
  <c r="F172" i="1"/>
  <c r="O171" i="1"/>
  <c r="L171" i="1"/>
  <c r="I171" i="1"/>
  <c r="F171" i="1"/>
  <c r="F181" i="1" s="1"/>
  <c r="C171" i="1"/>
  <c r="O165" i="1"/>
  <c r="I165" i="1"/>
  <c r="F165" i="1"/>
  <c r="C165" i="1"/>
  <c r="L164" i="1"/>
  <c r="I164" i="1"/>
  <c r="F164" i="1"/>
  <c r="C164" i="1"/>
  <c r="O163" i="1"/>
  <c r="L163" i="1"/>
  <c r="F163" i="1"/>
  <c r="C163" i="1"/>
  <c r="O162" i="1"/>
  <c r="I162" i="1"/>
  <c r="F162" i="1"/>
  <c r="C162" i="1"/>
  <c r="O161" i="1"/>
  <c r="L161" i="1"/>
  <c r="I161" i="1"/>
  <c r="F161" i="1"/>
  <c r="C161" i="1"/>
  <c r="L160" i="1"/>
  <c r="F160" i="1"/>
  <c r="C160" i="1"/>
  <c r="O159" i="1"/>
  <c r="L159" i="1"/>
  <c r="I159" i="1"/>
  <c r="F159" i="1"/>
  <c r="C159" i="1"/>
  <c r="O158" i="1"/>
  <c r="F158" i="1"/>
  <c r="O157" i="1"/>
  <c r="L157" i="1"/>
  <c r="F157" i="1"/>
  <c r="C157" i="1"/>
  <c r="O156" i="1"/>
  <c r="L156" i="1"/>
  <c r="I156" i="1"/>
  <c r="F156" i="1"/>
  <c r="F166" i="1" s="1"/>
  <c r="C156" i="1"/>
  <c r="I150" i="1"/>
  <c r="F150" i="1"/>
  <c r="C150" i="1"/>
  <c r="O149" i="1"/>
  <c r="L149" i="1"/>
  <c r="I149" i="1"/>
  <c r="F149" i="1"/>
  <c r="C149" i="1"/>
  <c r="O148" i="1"/>
  <c r="L148" i="1"/>
  <c r="I148" i="1"/>
  <c r="F148" i="1"/>
  <c r="C148" i="1"/>
  <c r="L147" i="1"/>
  <c r="I147" i="1"/>
  <c r="F147" i="1"/>
  <c r="C147" i="1"/>
  <c r="O146" i="1"/>
  <c r="L146" i="1"/>
  <c r="C146" i="1"/>
  <c r="O145" i="1"/>
  <c r="L145" i="1"/>
  <c r="F145" i="1"/>
  <c r="C145" i="1"/>
  <c r="L144" i="1"/>
  <c r="C144" i="1"/>
  <c r="O143" i="1"/>
  <c r="I143" i="1"/>
  <c r="F143" i="1"/>
  <c r="C143" i="1"/>
  <c r="O142" i="1"/>
  <c r="L142" i="1"/>
  <c r="I142" i="1"/>
  <c r="F142" i="1"/>
  <c r="C142" i="1"/>
  <c r="L141" i="1"/>
  <c r="F141" i="1"/>
  <c r="C141" i="1"/>
  <c r="L135" i="1"/>
  <c r="C135" i="1"/>
  <c r="O134" i="1"/>
  <c r="I134" i="1"/>
  <c r="F134" i="1"/>
  <c r="C134" i="1"/>
  <c r="O133" i="1"/>
  <c r="L133" i="1"/>
  <c r="I133" i="1"/>
  <c r="F133" i="1"/>
  <c r="C133" i="1"/>
  <c r="O132" i="1"/>
  <c r="L132" i="1"/>
  <c r="I132" i="1"/>
  <c r="F132" i="1"/>
  <c r="C132" i="1"/>
  <c r="O131" i="1"/>
  <c r="L131" i="1"/>
  <c r="I131" i="1"/>
  <c r="F131" i="1"/>
  <c r="C131" i="1"/>
  <c r="L130" i="1"/>
  <c r="F130" i="1"/>
  <c r="I129" i="1"/>
  <c r="F129" i="1"/>
  <c r="C129" i="1"/>
  <c r="L128" i="1"/>
  <c r="I128" i="1"/>
  <c r="F128" i="1"/>
  <c r="L127" i="1"/>
  <c r="I127" i="1"/>
  <c r="O126" i="1"/>
  <c r="L126" i="1"/>
  <c r="I126" i="1"/>
  <c r="F126" i="1"/>
  <c r="C126" i="1"/>
  <c r="L120" i="1"/>
  <c r="L119" i="1"/>
  <c r="I119" i="1"/>
  <c r="F119" i="1"/>
  <c r="C119" i="1"/>
  <c r="O118" i="1"/>
  <c r="L118" i="1"/>
  <c r="I118" i="1"/>
  <c r="F118" i="1"/>
  <c r="C118" i="1"/>
  <c r="O117" i="1"/>
  <c r="L117" i="1"/>
  <c r="F117" i="1"/>
  <c r="O116" i="1"/>
  <c r="L116" i="1"/>
  <c r="I116" i="1"/>
  <c r="F116" i="1"/>
  <c r="C116" i="1"/>
  <c r="O115" i="1"/>
  <c r="L115" i="1"/>
  <c r="I115" i="1"/>
  <c r="L114" i="1"/>
  <c r="I114" i="1"/>
  <c r="F114" i="1"/>
  <c r="C114" i="1"/>
  <c r="O113" i="1"/>
  <c r="L113" i="1"/>
  <c r="I113" i="1"/>
  <c r="I121" i="1" s="1"/>
  <c r="F113" i="1"/>
  <c r="L112" i="1"/>
  <c r="I112" i="1"/>
  <c r="C112" i="1"/>
  <c r="O111" i="1"/>
  <c r="I111" i="1"/>
  <c r="C111" i="1"/>
  <c r="O105" i="1"/>
  <c r="I105" i="1"/>
  <c r="C105" i="1"/>
  <c r="O104" i="1"/>
  <c r="I104" i="1"/>
  <c r="C104" i="1"/>
  <c r="O103" i="1"/>
  <c r="L103" i="1"/>
  <c r="I103" i="1"/>
  <c r="F103" i="1"/>
  <c r="C103" i="1"/>
  <c r="O102" i="1"/>
  <c r="L102" i="1"/>
  <c r="I102" i="1"/>
  <c r="F102" i="1"/>
  <c r="C102" i="1"/>
  <c r="O101" i="1"/>
  <c r="L101" i="1"/>
  <c r="I101" i="1"/>
  <c r="F101" i="1"/>
  <c r="C101" i="1"/>
  <c r="L100" i="1"/>
  <c r="I100" i="1"/>
  <c r="O99" i="1"/>
  <c r="L99" i="1"/>
  <c r="I99" i="1"/>
  <c r="F99" i="1"/>
  <c r="C99" i="1"/>
  <c r="O98" i="1"/>
  <c r="I98" i="1"/>
  <c r="O97" i="1"/>
  <c r="L97" i="1"/>
  <c r="I97" i="1"/>
  <c r="C97" i="1"/>
  <c r="O96" i="1"/>
  <c r="L96" i="1"/>
  <c r="I96" i="1"/>
  <c r="I106" i="1" s="1"/>
  <c r="F96" i="1"/>
  <c r="C96" i="1"/>
  <c r="O90" i="1"/>
  <c r="L90" i="1"/>
  <c r="I90" i="1"/>
  <c r="C90" i="1"/>
  <c r="O89" i="1"/>
  <c r="L89" i="1"/>
  <c r="I89" i="1"/>
  <c r="C89" i="1"/>
  <c r="O88" i="1"/>
  <c r="L88" i="1"/>
  <c r="C88" i="1"/>
  <c r="O87" i="1"/>
  <c r="L87" i="1"/>
  <c r="I87" i="1"/>
  <c r="F87" i="1"/>
  <c r="C87" i="1"/>
  <c r="O86" i="1"/>
  <c r="L86" i="1"/>
  <c r="F86" i="1"/>
  <c r="C86" i="1"/>
  <c r="O85" i="1"/>
  <c r="I85" i="1"/>
  <c r="F85" i="1"/>
  <c r="C85" i="1"/>
  <c r="O84" i="1"/>
  <c r="L84" i="1"/>
  <c r="I84" i="1"/>
  <c r="F84" i="1"/>
  <c r="L83" i="1"/>
  <c r="C83" i="1"/>
  <c r="O82" i="1"/>
  <c r="L82" i="1"/>
  <c r="F82" i="1"/>
  <c r="C82" i="1"/>
  <c r="O81" i="1"/>
  <c r="L81" i="1"/>
  <c r="F81" i="1"/>
  <c r="C81" i="1"/>
  <c r="O75" i="1"/>
  <c r="L75" i="1"/>
  <c r="I75" i="1"/>
  <c r="C75" i="1"/>
  <c r="O74" i="1"/>
  <c r="L74" i="1"/>
  <c r="I74" i="1"/>
  <c r="F74" i="1"/>
  <c r="C74" i="1"/>
  <c r="O73" i="1"/>
  <c r="L73" i="1"/>
  <c r="I73" i="1"/>
  <c r="F73" i="1"/>
  <c r="C73" i="1"/>
  <c r="L72" i="1"/>
  <c r="I72" i="1"/>
  <c r="F72" i="1"/>
  <c r="C72" i="1"/>
  <c r="O71" i="1"/>
  <c r="F71" i="1"/>
  <c r="O70" i="1"/>
  <c r="I70" i="1"/>
  <c r="F70" i="1"/>
  <c r="C70" i="1"/>
  <c r="O69" i="1"/>
  <c r="L69" i="1"/>
  <c r="F69" i="1"/>
  <c r="O68" i="1"/>
  <c r="I68" i="1"/>
  <c r="F68" i="1"/>
  <c r="O67" i="1"/>
  <c r="I67" i="1"/>
  <c r="F67" i="1"/>
  <c r="C67" i="1"/>
  <c r="L66" i="1"/>
  <c r="I66" i="1"/>
  <c r="F66" i="1"/>
  <c r="C66" i="1"/>
  <c r="O60" i="1"/>
  <c r="O56" i="1"/>
  <c r="O55" i="1"/>
  <c r="O53" i="1"/>
  <c r="O52" i="1"/>
  <c r="L59" i="1"/>
  <c r="L58" i="1"/>
  <c r="L57" i="1"/>
  <c r="L55" i="1"/>
  <c r="I59" i="1"/>
  <c r="I58" i="1"/>
  <c r="F60" i="1"/>
  <c r="F58" i="1"/>
  <c r="F57" i="1"/>
  <c r="F56" i="1"/>
  <c r="C57" i="1"/>
  <c r="C56" i="1"/>
  <c r="C55" i="1"/>
  <c r="V34" i="1"/>
  <c r="V35" i="1"/>
  <c r="V36" i="1"/>
  <c r="W36" i="1" s="1"/>
  <c r="V37" i="1"/>
  <c r="W37" i="1" s="1"/>
  <c r="V38" i="1"/>
  <c r="V39" i="1"/>
  <c r="W39" i="1" s="1"/>
  <c r="V40" i="1"/>
  <c r="W40" i="1" s="1"/>
  <c r="V41" i="1"/>
  <c r="V42" i="1"/>
  <c r="V43" i="1"/>
  <c r="P34" i="1"/>
  <c r="P35" i="1"/>
  <c r="P36" i="1"/>
  <c r="Q36" i="1" s="1"/>
  <c r="P37" i="1"/>
  <c r="P38" i="1"/>
  <c r="P39" i="1"/>
  <c r="P40" i="1"/>
  <c r="P41" i="1"/>
  <c r="P42" i="1"/>
  <c r="P43" i="1"/>
  <c r="Q43" i="1" s="1"/>
  <c r="S34" i="1"/>
  <c r="S35" i="1"/>
  <c r="S36" i="1"/>
  <c r="S37" i="1"/>
  <c r="S38" i="1"/>
  <c r="S39" i="1"/>
  <c r="T39" i="1" s="1"/>
  <c r="S40" i="1"/>
  <c r="S41" i="1"/>
  <c r="T41" i="1" s="1"/>
  <c r="S42" i="1"/>
  <c r="T42" i="1" s="1"/>
  <c r="S43" i="1"/>
  <c r="T43" i="1" s="1"/>
  <c r="M34" i="1"/>
  <c r="M35" i="1"/>
  <c r="N35" i="1" s="1"/>
  <c r="M36" i="1"/>
  <c r="N36" i="1" s="1"/>
  <c r="M37" i="1"/>
  <c r="N37" i="1" s="1"/>
  <c r="M38" i="1"/>
  <c r="M39" i="1"/>
  <c r="M40" i="1"/>
  <c r="M41" i="1"/>
  <c r="M42" i="1"/>
  <c r="N42" i="1" s="1"/>
  <c r="M43" i="1"/>
  <c r="W43" i="1"/>
  <c r="N43" i="1"/>
  <c r="W42" i="1"/>
  <c r="Q42" i="1"/>
  <c r="W41" i="1"/>
  <c r="Q41" i="1"/>
  <c r="N41" i="1"/>
  <c r="T40" i="1"/>
  <c r="Q40" i="1"/>
  <c r="N40" i="1"/>
  <c r="Q39" i="1"/>
  <c r="N39" i="1"/>
  <c r="W38" i="1"/>
  <c r="T38" i="1"/>
  <c r="Q38" i="1"/>
  <c r="N38" i="1"/>
  <c r="T37" i="1"/>
  <c r="Q37" i="1"/>
  <c r="T36" i="1"/>
  <c r="W35" i="1"/>
  <c r="T35" i="1"/>
  <c r="Q35" i="1"/>
  <c r="W34" i="1"/>
  <c r="T34" i="1"/>
  <c r="Q34" i="1"/>
  <c r="N34" i="1"/>
  <c r="G34" i="1"/>
  <c r="H34" i="1" s="1"/>
  <c r="G35" i="1"/>
  <c r="H35" i="1" s="1"/>
  <c r="G36" i="1"/>
  <c r="H36" i="1" s="1"/>
  <c r="G37" i="1"/>
  <c r="G38" i="1"/>
  <c r="H38" i="1" s="1"/>
  <c r="G39" i="1"/>
  <c r="H39" i="1" s="1"/>
  <c r="G40" i="1"/>
  <c r="G41" i="1"/>
  <c r="G42" i="1"/>
  <c r="G43" i="1"/>
  <c r="H43" i="1" s="1"/>
  <c r="J34" i="1"/>
  <c r="J35" i="1"/>
  <c r="K35" i="1" s="1"/>
  <c r="J36" i="1"/>
  <c r="K36" i="1" s="1"/>
  <c r="J37" i="1"/>
  <c r="K37" i="1" s="1"/>
  <c r="J38" i="1"/>
  <c r="K38" i="1" s="1"/>
  <c r="J39" i="1"/>
  <c r="K39" i="1" s="1"/>
  <c r="J40" i="1"/>
  <c r="J41" i="1"/>
  <c r="K41" i="1" s="1"/>
  <c r="J42" i="1"/>
  <c r="J43" i="1"/>
  <c r="K43" i="1" s="1"/>
  <c r="K42" i="1"/>
  <c r="H42" i="1"/>
  <c r="H41" i="1"/>
  <c r="K40" i="1"/>
  <c r="H40" i="1"/>
  <c r="H37" i="1"/>
  <c r="K34" i="1"/>
  <c r="D34" i="1"/>
  <c r="E34" i="1" s="1"/>
  <c r="D35" i="1"/>
  <c r="D36" i="1"/>
  <c r="D37" i="1"/>
  <c r="E37" i="1" s="1"/>
  <c r="D38" i="1"/>
  <c r="D39" i="1"/>
  <c r="E39" i="1" s="1"/>
  <c r="D40" i="1"/>
  <c r="E40" i="1" s="1"/>
  <c r="D41" i="1"/>
  <c r="E41" i="1" s="1"/>
  <c r="D42" i="1"/>
  <c r="D43" i="1"/>
  <c r="E43" i="1" s="1"/>
  <c r="A34" i="1"/>
  <c r="B34" i="1" s="1"/>
  <c r="A35" i="1"/>
  <c r="A36" i="1"/>
  <c r="A37" i="1"/>
  <c r="B37" i="1" s="1"/>
  <c r="A38" i="1"/>
  <c r="B38" i="1" s="1"/>
  <c r="A39" i="1"/>
  <c r="A40" i="1"/>
  <c r="B40" i="1" s="1"/>
  <c r="A41" i="1"/>
  <c r="B41" i="1" s="1"/>
  <c r="A42" i="1"/>
  <c r="A43" i="1"/>
  <c r="B43" i="1"/>
  <c r="E42" i="1"/>
  <c r="B42" i="1"/>
  <c r="B39" i="1"/>
  <c r="E38" i="1"/>
  <c r="E36" i="1"/>
  <c r="B36" i="1"/>
  <c r="E35" i="1"/>
  <c r="B35" i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M4" i="1"/>
  <c r="N4" i="1" s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N6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G4" i="1"/>
  <c r="H4" i="1" s="1"/>
  <c r="G5" i="1"/>
  <c r="H5" i="1" s="1"/>
  <c r="G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H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E136" i="3" l="1"/>
  <c r="N61" i="3"/>
  <c r="H61" i="3"/>
  <c r="E14" i="3"/>
  <c r="N136" i="3"/>
  <c r="K61" i="3"/>
  <c r="AF76" i="3"/>
  <c r="E106" i="3"/>
  <c r="AC121" i="3"/>
  <c r="N166" i="3"/>
  <c r="AF46" i="3"/>
  <c r="B121" i="3"/>
  <c r="H31" i="3"/>
  <c r="N31" i="3"/>
  <c r="T61" i="3"/>
  <c r="E121" i="3"/>
  <c r="W61" i="3"/>
  <c r="H121" i="3"/>
  <c r="Z61" i="3"/>
  <c r="AF61" i="3"/>
  <c r="H151" i="3"/>
  <c r="N151" i="3"/>
  <c r="AC61" i="3"/>
  <c r="AC136" i="3"/>
  <c r="H46" i="3"/>
  <c r="T76" i="3"/>
  <c r="AC31" i="3"/>
  <c r="AF31" i="3"/>
  <c r="T46" i="3"/>
  <c r="Z121" i="3"/>
  <c r="H14" i="3"/>
  <c r="Z31" i="3"/>
  <c r="B46" i="3"/>
  <c r="H91" i="3"/>
  <c r="AF91" i="3"/>
  <c r="AF136" i="3"/>
  <c r="K14" i="3"/>
  <c r="T31" i="3"/>
  <c r="K46" i="3"/>
  <c r="E46" i="3"/>
  <c r="AC106" i="3"/>
  <c r="N121" i="3"/>
  <c r="H136" i="3"/>
  <c r="B31" i="3"/>
  <c r="N46" i="3"/>
  <c r="AC76" i="3"/>
  <c r="AF106" i="3"/>
  <c r="B136" i="3"/>
  <c r="T151" i="3"/>
  <c r="E31" i="3"/>
  <c r="N91" i="3"/>
  <c r="H106" i="3"/>
  <c r="K151" i="3"/>
  <c r="AC166" i="3"/>
  <c r="T91" i="3"/>
  <c r="K106" i="3"/>
  <c r="B106" i="3"/>
  <c r="W151" i="3"/>
  <c r="AF166" i="3"/>
  <c r="E76" i="3"/>
  <c r="B76" i="3"/>
  <c r="W91" i="3"/>
  <c r="B151" i="3"/>
  <c r="Z151" i="3"/>
  <c r="Z91" i="3"/>
  <c r="K91" i="3"/>
  <c r="W31" i="3"/>
  <c r="H76" i="3"/>
  <c r="AC91" i="3"/>
  <c r="T121" i="3"/>
  <c r="K121" i="3"/>
  <c r="W121" i="3"/>
  <c r="K31" i="3"/>
  <c r="K76" i="3"/>
  <c r="K166" i="3"/>
  <c r="B14" i="3"/>
  <c r="N76" i="3"/>
  <c r="Z76" i="3"/>
  <c r="T136" i="3"/>
  <c r="E151" i="3"/>
  <c r="AC151" i="3"/>
  <c r="H166" i="3"/>
  <c r="W136" i="3"/>
  <c r="W46" i="3"/>
  <c r="N106" i="3"/>
  <c r="Z136" i="3"/>
  <c r="B166" i="3"/>
  <c r="E166" i="3"/>
  <c r="Z46" i="3"/>
  <c r="B61" i="3"/>
  <c r="T106" i="3"/>
  <c r="AF121" i="3"/>
  <c r="T166" i="3"/>
  <c r="Z106" i="3"/>
  <c r="E61" i="3"/>
  <c r="B91" i="3"/>
  <c r="W106" i="3"/>
  <c r="AF151" i="3"/>
  <c r="W166" i="3"/>
  <c r="E91" i="3"/>
  <c r="K136" i="3"/>
  <c r="Z166" i="3"/>
  <c r="W76" i="3"/>
  <c r="Z166" i="2"/>
  <c r="T166" i="2"/>
  <c r="AF151" i="2"/>
  <c r="W151" i="2"/>
  <c r="T151" i="2"/>
  <c r="AF136" i="2"/>
  <c r="Z136" i="2"/>
  <c r="W136" i="2"/>
  <c r="T136" i="2"/>
  <c r="AF121" i="2"/>
  <c r="AC121" i="2"/>
  <c r="W121" i="2"/>
  <c r="AF106" i="2"/>
  <c r="AC106" i="2"/>
  <c r="Z106" i="2"/>
  <c r="W106" i="2"/>
  <c r="T106" i="2"/>
  <c r="AF91" i="2"/>
  <c r="AC91" i="2"/>
  <c r="Z91" i="2"/>
  <c r="W91" i="2"/>
  <c r="AF76" i="2"/>
  <c r="AC76" i="2"/>
  <c r="Z76" i="2"/>
  <c r="AF61" i="2"/>
  <c r="AC61" i="2"/>
  <c r="W61" i="2"/>
  <c r="AF46" i="2"/>
  <c r="AC46" i="2"/>
  <c r="Z46" i="2"/>
  <c r="W46" i="2"/>
  <c r="T46" i="2"/>
  <c r="AC31" i="2"/>
  <c r="Z31" i="2"/>
  <c r="W31" i="2"/>
  <c r="T31" i="2"/>
  <c r="H76" i="2"/>
  <c r="N91" i="2"/>
  <c r="H106" i="2"/>
  <c r="K46" i="2"/>
  <c r="N46" i="2"/>
  <c r="H61" i="2"/>
  <c r="N136" i="2"/>
  <c r="B166" i="2"/>
  <c r="B31" i="2"/>
  <c r="N106" i="2"/>
  <c r="H121" i="2"/>
  <c r="E136" i="2"/>
  <c r="B151" i="2"/>
  <c r="E166" i="2"/>
  <c r="E31" i="2"/>
  <c r="K76" i="2"/>
  <c r="K151" i="2"/>
  <c r="H166" i="2"/>
  <c r="H31" i="2"/>
  <c r="B121" i="2"/>
  <c r="E151" i="2"/>
  <c r="K166" i="2"/>
  <c r="N76" i="2"/>
  <c r="E76" i="2"/>
  <c r="B91" i="2"/>
  <c r="E121" i="2"/>
  <c r="H151" i="2"/>
  <c r="K31" i="2"/>
  <c r="B46" i="2"/>
  <c r="B61" i="2"/>
  <c r="B76" i="2"/>
  <c r="B136" i="2"/>
  <c r="N166" i="2"/>
  <c r="N31" i="2"/>
  <c r="E61" i="2"/>
  <c r="E91" i="2"/>
  <c r="E46" i="2"/>
  <c r="H91" i="2"/>
  <c r="B106" i="2"/>
  <c r="K121" i="2"/>
  <c r="N151" i="2"/>
  <c r="K61" i="2"/>
  <c r="H136" i="2"/>
  <c r="K106" i="2"/>
  <c r="H46" i="2"/>
  <c r="N61" i="2"/>
  <c r="K91" i="2"/>
  <c r="E106" i="2"/>
  <c r="N121" i="2"/>
  <c r="K136" i="2"/>
  <c r="K14" i="2"/>
  <c r="H14" i="2"/>
  <c r="E14" i="2"/>
  <c r="B14" i="2"/>
  <c r="AV196" i="1"/>
  <c r="AS196" i="1"/>
  <c r="AP61" i="1"/>
  <c r="AP166" i="1"/>
  <c r="AP121" i="1"/>
  <c r="AM121" i="1"/>
  <c r="AP76" i="1"/>
  <c r="AV76" i="1"/>
  <c r="AY76" i="1"/>
  <c r="AV181" i="1"/>
  <c r="AS121" i="1"/>
  <c r="AM136" i="1"/>
  <c r="AS166" i="1"/>
  <c r="AM166" i="1"/>
  <c r="AS61" i="1"/>
  <c r="AP136" i="1"/>
  <c r="AY61" i="1"/>
  <c r="AV121" i="1"/>
  <c r="AV166" i="1"/>
  <c r="AP181" i="1"/>
  <c r="AY196" i="1"/>
  <c r="AV61" i="1"/>
  <c r="AM61" i="1"/>
  <c r="AM91" i="1"/>
  <c r="AP106" i="1"/>
  <c r="AY121" i="1"/>
  <c r="AS136" i="1"/>
  <c r="AM151" i="1"/>
  <c r="AY166" i="1"/>
  <c r="AS181" i="1"/>
  <c r="AM76" i="1"/>
  <c r="AP91" i="1"/>
  <c r="AS106" i="1"/>
  <c r="AP151" i="1"/>
  <c r="AS91" i="1"/>
  <c r="AM106" i="1"/>
  <c r="AV136" i="1"/>
  <c r="AS151" i="1"/>
  <c r="AV91" i="1"/>
  <c r="AV106" i="1"/>
  <c r="AY181" i="1"/>
  <c r="AY91" i="1"/>
  <c r="AV151" i="1"/>
  <c r="AM181" i="1"/>
  <c r="AS76" i="1"/>
  <c r="AY106" i="1"/>
  <c r="AY151" i="1"/>
  <c r="AM196" i="1"/>
  <c r="AP196" i="1"/>
  <c r="AG151" i="1"/>
  <c r="AD121" i="1"/>
  <c r="U121" i="1"/>
  <c r="AD91" i="1"/>
  <c r="AG61" i="1"/>
  <c r="AD196" i="1"/>
  <c r="AG196" i="1"/>
  <c r="X181" i="1"/>
  <c r="U181" i="1"/>
  <c r="X166" i="1"/>
  <c r="X151" i="1"/>
  <c r="AA136" i="1"/>
  <c r="AA121" i="1"/>
  <c r="AA106" i="1"/>
  <c r="AD106" i="1"/>
  <c r="AG91" i="1"/>
  <c r="X91" i="1"/>
  <c r="X76" i="1"/>
  <c r="X61" i="1"/>
  <c r="U61" i="1"/>
  <c r="X136" i="1"/>
  <c r="AG181" i="1"/>
  <c r="AA76" i="1"/>
  <c r="AG121" i="1"/>
  <c r="AA166" i="1"/>
  <c r="AD76" i="1"/>
  <c r="AD136" i="1"/>
  <c r="AD166" i="1"/>
  <c r="AA61" i="1"/>
  <c r="AG166" i="1"/>
  <c r="AG76" i="1"/>
  <c r="U106" i="1"/>
  <c r="AG136" i="1"/>
  <c r="U166" i="1"/>
  <c r="AD61" i="1"/>
  <c r="U76" i="1"/>
  <c r="U151" i="1"/>
  <c r="AD181" i="1"/>
  <c r="U91" i="1"/>
  <c r="X106" i="1"/>
  <c r="X121" i="1"/>
  <c r="AA151" i="1"/>
  <c r="AA181" i="1"/>
  <c r="U196" i="1"/>
  <c r="AA91" i="1"/>
  <c r="X196" i="1"/>
  <c r="AG106" i="1"/>
  <c r="U136" i="1"/>
  <c r="AD151" i="1"/>
  <c r="AA196" i="1"/>
  <c r="L196" i="1"/>
  <c r="F196" i="1"/>
  <c r="C196" i="1"/>
  <c r="O181" i="1"/>
  <c r="I181" i="1"/>
  <c r="C181" i="1"/>
  <c r="O166" i="1"/>
  <c r="L166" i="1"/>
  <c r="I166" i="1"/>
  <c r="C166" i="1"/>
  <c r="L151" i="1"/>
  <c r="F151" i="1"/>
  <c r="C151" i="1"/>
  <c r="O136" i="1"/>
  <c r="L136" i="1"/>
  <c r="I136" i="1"/>
  <c r="F136" i="1"/>
  <c r="C136" i="1"/>
  <c r="O121" i="1"/>
  <c r="L121" i="1"/>
  <c r="F121" i="1"/>
  <c r="C121" i="1"/>
  <c r="O106" i="1"/>
  <c r="L106" i="1"/>
  <c r="F106" i="1"/>
  <c r="C106" i="1"/>
  <c r="O91" i="1"/>
  <c r="L91" i="1"/>
  <c r="I91" i="1"/>
  <c r="F91" i="1"/>
  <c r="C91" i="1"/>
  <c r="L76" i="1"/>
  <c r="I76" i="1"/>
  <c r="F76" i="1"/>
  <c r="C76" i="1"/>
  <c r="L61" i="1"/>
  <c r="I61" i="1"/>
  <c r="O61" i="1"/>
  <c r="F61" i="1"/>
  <c r="C61" i="1"/>
  <c r="N44" i="1"/>
  <c r="Q44" i="1"/>
  <c r="W44" i="1"/>
  <c r="T44" i="1"/>
  <c r="K44" i="1"/>
  <c r="H44" i="1"/>
  <c r="B44" i="1"/>
  <c r="E44" i="1"/>
  <c r="B14" i="1"/>
  <c r="W29" i="1"/>
  <c r="T29" i="1"/>
  <c r="Q29" i="1"/>
  <c r="N29" i="1"/>
  <c r="N14" i="1"/>
  <c r="Q14" i="1"/>
  <c r="H14" i="1"/>
  <c r="K14" i="1"/>
  <c r="E14" i="1"/>
</calcChain>
</file>

<file path=xl/sharedStrings.xml><?xml version="1.0" encoding="utf-8"?>
<sst xmlns="http://schemas.openxmlformats.org/spreadsheetml/2006/main" count="1485" uniqueCount="68">
  <si>
    <t>MS</t>
  </si>
  <si>
    <t>S</t>
  </si>
  <si>
    <t>1883 and MQTT3.1.1
both PUB and SUB</t>
  </si>
  <si>
    <t>1883 and MQTT5
both PUB and SUB</t>
  </si>
  <si>
    <t>8883 and MQTT3.1.1
both PUB and SUB</t>
  </si>
  <si>
    <t>8883 and MQTT5
both PUB and SUB</t>
  </si>
  <si>
    <t>8001 and MQTT5
both PUB and SUB (no checks)</t>
  </si>
  <si>
    <t>8001 and MQTT3.1.1
both PUB and SUB (no checks)</t>
  </si>
  <si>
    <t>600B - 8001 and MQTT3.1.1
both PUB and SUB</t>
  </si>
  <si>
    <t>1660B - 8001 and MQTT3.1.1
both PUB and SUB</t>
  </si>
  <si>
    <t>600B - 8001 and MQTT5
both PUB and SUB</t>
  </si>
  <si>
    <t>1660 Byte - 8001 and MQTT5
both PUB and SUB</t>
  </si>
  <si>
    <t>PI1-1</t>
  </si>
  <si>
    <t>PI1-2</t>
  </si>
  <si>
    <t>PI1-5</t>
  </si>
  <si>
    <t>PI1-3</t>
  </si>
  <si>
    <t>PI1-4</t>
  </si>
  <si>
    <t>PI2-5</t>
  </si>
  <si>
    <t>PI2-1</t>
  </si>
  <si>
    <t>PI2-2</t>
  </si>
  <si>
    <t>PI2-3</t>
  </si>
  <si>
    <t>PI2-4</t>
  </si>
  <si>
    <t>PI3-1</t>
  </si>
  <si>
    <t>PI3-2</t>
  </si>
  <si>
    <t>PI3-3</t>
  </si>
  <si>
    <t>PI3-4</t>
  </si>
  <si>
    <t>PI3-5</t>
  </si>
  <si>
    <t>PI4-1</t>
  </si>
  <si>
    <t>PI4-2</t>
  </si>
  <si>
    <t>PI4-3</t>
  </si>
  <si>
    <t>PI4-4</t>
  </si>
  <si>
    <t>PI4-5</t>
  </si>
  <si>
    <t>PI10-1</t>
  </si>
  <si>
    <t>PI10-2</t>
  </si>
  <si>
    <t>PI10-3</t>
  </si>
  <si>
    <t>PI10-4</t>
  </si>
  <si>
    <t>PI10-5</t>
  </si>
  <si>
    <t>PI9-1</t>
  </si>
  <si>
    <t>PI9-2</t>
  </si>
  <si>
    <t>PI9-3</t>
  </si>
  <si>
    <t>PI9-4</t>
  </si>
  <si>
    <t>PI9-5</t>
  </si>
  <si>
    <t>PI8-1</t>
  </si>
  <si>
    <t>PI8-2</t>
  </si>
  <si>
    <t>PI8-3</t>
  </si>
  <si>
    <t>PI8-4</t>
  </si>
  <si>
    <t>PI8-5</t>
  </si>
  <si>
    <t>PI7-1</t>
  </si>
  <si>
    <t>PI7-2</t>
  </si>
  <si>
    <t>PI7-3</t>
  </si>
  <si>
    <t>PI7-4</t>
  </si>
  <si>
    <t>PI7-5</t>
  </si>
  <si>
    <t>PI6-1</t>
  </si>
  <si>
    <t>PI6-2</t>
  </si>
  <si>
    <t>PI6-3</t>
  </si>
  <si>
    <t>PI6-4</t>
  </si>
  <si>
    <t>PI6-5</t>
  </si>
  <si>
    <t>PI5-1</t>
  </si>
  <si>
    <t>PI5-2</t>
  </si>
  <si>
    <t>PI5-3</t>
  </si>
  <si>
    <t>PI5-4</t>
  </si>
  <si>
    <t>PI5-5</t>
  </si>
  <si>
    <t>8001 600B and MQTT3.1.1
both PUB and SUB</t>
  </si>
  <si>
    <t>8001 1660B and MQTT3.1.1
both PUB and SUB</t>
  </si>
  <si>
    <t>Everything on one host (publisher, subscriber, redis and Mosquitto)</t>
  </si>
  <si>
    <t>Mosquitto on one host, 50 Clients on 10 Raspberry Pis (5 each)</t>
  </si>
  <si>
    <t>Everything on one Raspberry PI (publisher, subscriber, Redis, Flask and Mosquitto)</t>
  </si>
  <si>
    <t>Everything on one host (publisher, subscriber, Redis, Flask and Mosquitto)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</si>
</sst>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0" xfId="0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7A6A-B28F-4BEC-AEFC-870853FE68D3}">
  <dimension ref="A1:AY196"/>
  <sheetViews>
    <sheetView tabSelected="1" zoomScale="25" zoomScaleNormal="25" workbookViewId="0">
      <selection sqref="A1:W1"/>
    </sheetView>
  </sheetViews>
  <sheetFormatPr defaultRowHeight="14.4" x14ac:dyDescent="0.3"/>
  <cols>
    <col min="2" max="2" width="12.88671875" customWidth="1"/>
    <col min="5" max="5" width="11.6640625" customWidth="1"/>
    <col min="8" max="8" width="12.44140625" customWidth="1"/>
    <col min="11" max="11" width="12.109375" customWidth="1"/>
    <col min="13" max="13" width="12" customWidth="1"/>
    <col min="14" max="14" width="18.44140625" customWidth="1"/>
    <col min="16" max="16" width="12.77734375" customWidth="1"/>
    <col min="17" max="17" width="20.5546875" customWidth="1"/>
    <col min="20" max="20" width="18.5546875" customWidth="1"/>
    <col min="23" max="23" width="19.44140625" customWidth="1"/>
    <col min="26" max="26" width="14" customWidth="1"/>
    <col min="27" max="27" width="10.44140625" customWidth="1"/>
    <col min="29" max="29" width="15" customWidth="1"/>
    <col min="32" max="32" width="14.33203125" customWidth="1"/>
    <col min="39" max="39" width="16.5546875" customWidth="1"/>
    <col min="42" max="42" width="16.109375" customWidth="1"/>
    <col min="45" max="45" width="16.44140625" customWidth="1"/>
    <col min="48" max="48" width="16.77734375" customWidth="1"/>
    <col min="51" max="51" width="16.109375" customWidth="1"/>
  </cols>
  <sheetData>
    <row r="1" spans="1:23" ht="23.4" x14ac:dyDescent="0.45">
      <c r="A1" s="7" t="s">
        <v>67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31.8" customHeight="1" x14ac:dyDescent="0.3">
      <c r="A2" s="8" t="s">
        <v>2</v>
      </c>
      <c r="B2" s="8"/>
      <c r="D2" s="8" t="s">
        <v>3</v>
      </c>
      <c r="E2" s="8"/>
      <c r="G2" s="8" t="s">
        <v>4</v>
      </c>
      <c r="H2" s="8"/>
      <c r="J2" s="8" t="s">
        <v>5</v>
      </c>
      <c r="K2" s="8"/>
      <c r="M2" s="8" t="s">
        <v>7</v>
      </c>
      <c r="N2" s="8"/>
      <c r="P2" s="8" t="s">
        <v>6</v>
      </c>
      <c r="Q2" s="8"/>
    </row>
    <row r="3" spans="1:23" x14ac:dyDescent="0.3">
      <c r="A3" s="1" t="s">
        <v>1</v>
      </c>
      <c r="B3" s="1" t="s">
        <v>0</v>
      </c>
      <c r="D3" s="1" t="s">
        <v>1</v>
      </c>
      <c r="E3" s="1" t="s">
        <v>0</v>
      </c>
      <c r="G3" s="1" t="s">
        <v>1</v>
      </c>
      <c r="H3" s="1" t="s">
        <v>0</v>
      </c>
      <c r="J3" s="1" t="s">
        <v>1</v>
      </c>
      <c r="K3" s="1" t="s">
        <v>0</v>
      </c>
      <c r="M3" s="1" t="s">
        <v>1</v>
      </c>
      <c r="N3" s="1" t="s">
        <v>0</v>
      </c>
      <c r="P3" s="1" t="s">
        <v>1</v>
      </c>
      <c r="Q3" s="1" t="s">
        <v>0</v>
      </c>
    </row>
    <row r="4" spans="1:23" x14ac:dyDescent="0.3">
      <c r="A4" s="4">
        <f>1628086978.99418-1628086978.99106</f>
        <v>3.1199455261230469E-3</v>
      </c>
      <c r="B4" s="3">
        <f>A4*1000</f>
        <v>3.1199455261230469</v>
      </c>
      <c r="D4" s="4">
        <f>1628087608.83137-1628087608.8292</f>
        <v>2.1700859069824219E-3</v>
      </c>
      <c r="E4" s="3">
        <f>D4*1000</f>
        <v>2.1700859069824219</v>
      </c>
      <c r="G4" s="4">
        <f>1628088225.35441-1628088225.2992</f>
        <v>5.5209875106811523E-2</v>
      </c>
      <c r="H4" s="3">
        <f>G4*1000</f>
        <v>55.209875106811523</v>
      </c>
      <c r="J4" s="4">
        <f>1628088266.38241-1628088266.33104</f>
        <v>5.1370143890380859E-2</v>
      </c>
      <c r="K4" s="3">
        <f>J4*1000</f>
        <v>51.370143890380859</v>
      </c>
      <c r="M4" s="4">
        <f>1628090195.01362-1628090194.95539</f>
        <v>5.8229923248291016E-2</v>
      </c>
      <c r="N4" s="3">
        <f>M4*1000</f>
        <v>58.229923248291016</v>
      </c>
      <c r="P4" s="4">
        <f>1628090307.2177-1628090307.15893</f>
        <v>5.8769941329956055E-2</v>
      </c>
      <c r="Q4" s="3">
        <f>P4*1000</f>
        <v>58.769941329956055</v>
      </c>
    </row>
    <row r="5" spans="1:23" x14ac:dyDescent="0.3">
      <c r="A5" s="4">
        <f>1628086980.0006-1628086979.9975</f>
        <v>3.1001567840576172E-3</v>
      </c>
      <c r="B5" s="3">
        <f t="shared" ref="B5:B13" si="0">A5*1000</f>
        <v>3.1001567840576172</v>
      </c>
      <c r="D5" s="4">
        <f>1628087609.83775-1628087609.83462</f>
        <v>3.1299591064453125E-3</v>
      </c>
      <c r="E5" s="3">
        <f t="shared" ref="E5:E13" si="1">D5*1000</f>
        <v>3.1299591064453125</v>
      </c>
      <c r="G5" s="4">
        <f>1628088226.41042-1628088226.35816</f>
        <v>5.2259922027587891E-2</v>
      </c>
      <c r="H5" s="3">
        <f t="shared" ref="H5:H13" si="2">G5*1000</f>
        <v>52.259922027587891</v>
      </c>
      <c r="J5" s="4">
        <f>1628088267.43844-1628088267.38612</f>
        <v>5.2320003509521484E-2</v>
      </c>
      <c r="K5" s="3">
        <f t="shared" ref="K5:K13" si="3">J5*1000</f>
        <v>52.320003509521484</v>
      </c>
      <c r="M5" s="4">
        <f>1628090196.07751-1628090196.01758</f>
        <v>5.9930086135864258E-2</v>
      </c>
      <c r="N5" s="3">
        <f t="shared" ref="N5:N13" si="4">M5*1000</f>
        <v>59.930086135864258</v>
      </c>
      <c r="P5" s="4">
        <f>1628090308.28151-1628090308.22164</f>
        <v>5.9870004653930664E-2</v>
      </c>
      <c r="Q5" s="3">
        <f t="shared" ref="Q5:Q13" si="5">P5*1000</f>
        <v>59.870004653930664</v>
      </c>
    </row>
    <row r="6" spans="1:23" x14ac:dyDescent="0.3">
      <c r="A6" s="4">
        <f>1628086981.00744-1628086981.00419</f>
        <v>3.2501220703125E-3</v>
      </c>
      <c r="B6" s="3">
        <f t="shared" si="0"/>
        <v>3.2501220703125</v>
      </c>
      <c r="D6" s="4">
        <f>1628087610.84291-1628087610.8409</f>
        <v>2.0101070404052734E-3</v>
      </c>
      <c r="E6" s="3">
        <f t="shared" si="1"/>
        <v>2.0101070404052734</v>
      </c>
      <c r="G6" s="4">
        <f>1628088227.46638-1628088227.41391</f>
        <v>5.2469968795776367E-2</v>
      </c>
      <c r="H6" s="3">
        <f t="shared" si="2"/>
        <v>52.469968795776367</v>
      </c>
      <c r="J6" s="4">
        <f>1628088268.4944-1628088268.44198</f>
        <v>5.2420139312744141E-2</v>
      </c>
      <c r="K6" s="3">
        <f t="shared" si="3"/>
        <v>52.420139312744141</v>
      </c>
      <c r="M6" s="4">
        <f>1628090197.14133-1628090197.08133</f>
        <v>5.9999942779541016E-2</v>
      </c>
      <c r="N6" s="3">
        <f t="shared" si="4"/>
        <v>59.999942779541016</v>
      </c>
      <c r="P6" s="4">
        <f>1628090309.34515-1628090309.28545</f>
        <v>5.970001220703125E-2</v>
      </c>
      <c r="Q6" s="3">
        <f t="shared" si="5"/>
        <v>59.70001220703125</v>
      </c>
    </row>
    <row r="7" spans="1:23" x14ac:dyDescent="0.3">
      <c r="A7" s="4">
        <f>1628086982.01404-1628086982.01089</f>
        <v>3.1499862670898438E-3</v>
      </c>
      <c r="B7" s="3">
        <f t="shared" si="0"/>
        <v>3.1499862670898438</v>
      </c>
      <c r="D7" s="4">
        <f>1628087611.84907-1628087611.846</f>
        <v>3.0701160430908203E-3</v>
      </c>
      <c r="E7" s="3">
        <f t="shared" si="1"/>
        <v>3.0701160430908203</v>
      </c>
      <c r="G7" s="4">
        <f>1628088228.52244-1628088228.47004</f>
        <v>5.2399873733520508E-2</v>
      </c>
      <c r="H7" s="3">
        <f t="shared" si="2"/>
        <v>52.399873733520508</v>
      </c>
      <c r="J7" s="4">
        <f>1628088269.55036-1628088269.49789</f>
        <v>5.2469968795776367E-2</v>
      </c>
      <c r="K7" s="3">
        <f t="shared" si="3"/>
        <v>52.469968795776367</v>
      </c>
      <c r="M7" s="4">
        <f>1628090198.20533-1628090198.14524</f>
        <v>6.0089826583862305E-2</v>
      </c>
      <c r="N7" s="3">
        <f t="shared" si="4"/>
        <v>60.089826583862305</v>
      </c>
      <c r="P7" s="4">
        <f>1628090310.40568-1628090310.34898</f>
        <v>5.6699991226196289E-2</v>
      </c>
      <c r="Q7" s="3">
        <f t="shared" si="5"/>
        <v>56.699991226196289</v>
      </c>
    </row>
    <row r="8" spans="1:23" x14ac:dyDescent="0.3">
      <c r="A8" s="4">
        <f>1628086983.02063-1628086983.01737</f>
        <v>3.2598972320556641E-3</v>
      </c>
      <c r="B8" s="3">
        <f t="shared" si="0"/>
        <v>3.2598972320556641</v>
      </c>
      <c r="D8" s="4">
        <f>1628087612.85414-1628087612.85224</f>
        <v>1.8999576568603516E-3</v>
      </c>
      <c r="E8" s="3">
        <f t="shared" si="1"/>
        <v>1.8999576568603516</v>
      </c>
      <c r="G8" s="4">
        <f>1628088229.5784-1628088229.52598</f>
        <v>5.2419900894165039E-2</v>
      </c>
      <c r="H8" s="3">
        <f t="shared" si="2"/>
        <v>52.419900894165039</v>
      </c>
      <c r="J8" s="4">
        <f>1628088270.60641-1628088270.55398</f>
        <v>5.2429914474487305E-2</v>
      </c>
      <c r="K8" s="3">
        <f t="shared" si="3"/>
        <v>52.429914474487305</v>
      </c>
      <c r="M8" s="4">
        <f>1628090199.26943-1628090199.20916</f>
        <v>6.0269832611083984E-2</v>
      </c>
      <c r="N8" s="3">
        <f t="shared" si="4"/>
        <v>60.269832611083984</v>
      </c>
      <c r="P8" s="4">
        <f>1628090311.46973-1628090311.40956</f>
        <v>6.016993522644043E-2</v>
      </c>
      <c r="Q8" s="3">
        <f t="shared" si="5"/>
        <v>60.16993522644043</v>
      </c>
    </row>
    <row r="9" spans="1:23" x14ac:dyDescent="0.3">
      <c r="A9" s="4">
        <f>1628086984.02692-1628086984.02382</f>
        <v>3.1001567840576172E-3</v>
      </c>
      <c r="B9" s="3">
        <f t="shared" si="0"/>
        <v>3.1001567840576172</v>
      </c>
      <c r="D9" s="4">
        <f>1628087613.86037-1628087613.85721</f>
        <v>3.1599998474121094E-3</v>
      </c>
      <c r="E9" s="3">
        <f t="shared" si="1"/>
        <v>3.1599998474121094</v>
      </c>
      <c r="G9" s="4">
        <f>1628088230.63441-1628088230.58172</f>
        <v>5.2689790725708008E-2</v>
      </c>
      <c r="H9" s="3">
        <f t="shared" si="2"/>
        <v>52.689790725708008</v>
      </c>
      <c r="J9" s="4">
        <f>1628088271.6624-1628088271.60998</f>
        <v>5.2419900894165039E-2</v>
      </c>
      <c r="K9" s="3">
        <f t="shared" si="3"/>
        <v>52.419900894165039</v>
      </c>
      <c r="M9" s="4">
        <f>1628090200.33323-1628090200.27339</f>
        <v>5.9839963912963867E-2</v>
      </c>
      <c r="N9" s="3">
        <f t="shared" si="4"/>
        <v>59.839963912963867</v>
      </c>
      <c r="P9" s="4">
        <f>1628090312.53288-1628090312.47356</f>
        <v>5.9319972991943359E-2</v>
      </c>
      <c r="Q9" s="3">
        <f t="shared" si="5"/>
        <v>59.319972991943359</v>
      </c>
    </row>
    <row r="10" spans="1:23" x14ac:dyDescent="0.3">
      <c r="A10" s="4">
        <f>1628086985.03315-1628086985.03012</f>
        <v>3.0300617218017578E-3</v>
      </c>
      <c r="B10" s="3">
        <f t="shared" si="0"/>
        <v>3.0300617218017578</v>
      </c>
      <c r="D10" s="4">
        <f>1628087614.86665-1628087614.86353</f>
        <v>3.1201839447021484E-3</v>
      </c>
      <c r="E10" s="3">
        <f t="shared" si="1"/>
        <v>3.1201839447021484</v>
      </c>
      <c r="G10" s="4">
        <f>1628088231.69042-1628088231.638</f>
        <v>5.2419900894165039E-2</v>
      </c>
      <c r="H10" s="3">
        <f t="shared" si="2"/>
        <v>52.419900894165039</v>
      </c>
      <c r="J10" s="4">
        <f>1628088272.71838-1628088272.66591</f>
        <v>5.2469968795776367E-2</v>
      </c>
      <c r="K10" s="3">
        <f t="shared" si="3"/>
        <v>52.469968795776367</v>
      </c>
      <c r="M10" s="4">
        <f>1628090201.39728-1628090201.33712</f>
        <v>6.0159921646118164E-2</v>
      </c>
      <c r="N10" s="3">
        <f t="shared" si="4"/>
        <v>60.159921646118164</v>
      </c>
      <c r="P10" s="4">
        <f>1628090313.59723-1628090313.53626</f>
        <v>6.0970067977905273E-2</v>
      </c>
      <c r="Q10" s="3">
        <f t="shared" si="5"/>
        <v>60.970067977905273</v>
      </c>
    </row>
    <row r="11" spans="1:23" x14ac:dyDescent="0.3">
      <c r="A11" s="4">
        <f>1628086986.03939-1628086986.03632</f>
        <v>3.0701160430908203E-3</v>
      </c>
      <c r="B11" s="3">
        <f t="shared" si="0"/>
        <v>3.0701160430908203</v>
      </c>
      <c r="D11" s="4">
        <f>1628087615.87299-1628087615.86985</f>
        <v>3.1399726867675781E-3</v>
      </c>
      <c r="E11" s="3">
        <f t="shared" si="1"/>
        <v>3.1399726867675781</v>
      </c>
      <c r="G11" s="4">
        <f>1628088232.74642-1628088232.69395</f>
        <v>5.2469968795776367E-2</v>
      </c>
      <c r="H11" s="3">
        <f t="shared" si="2"/>
        <v>52.469968795776367</v>
      </c>
      <c r="J11" s="4">
        <f>1628088273.77446-1628088273.72189</f>
        <v>5.2570104598999023E-2</v>
      </c>
      <c r="K11" s="3">
        <f t="shared" si="3"/>
        <v>52.570104598999023</v>
      </c>
      <c r="M11" s="4">
        <f>1628090202.46136-1628090202.40112</f>
        <v>6.0240030288696289E-2</v>
      </c>
      <c r="N11" s="3">
        <f t="shared" si="4"/>
        <v>60.240030288696289</v>
      </c>
      <c r="P11" s="4">
        <f>1628090314.66181-1628090314.60113</f>
        <v>6.0679912567138672E-2</v>
      </c>
      <c r="Q11" s="3">
        <f t="shared" si="5"/>
        <v>60.679912567138672</v>
      </c>
    </row>
    <row r="12" spans="1:23" x14ac:dyDescent="0.3">
      <c r="A12" s="4">
        <f>1628086987.04557-1628086987.04258</f>
        <v>2.9900074005126953E-3</v>
      </c>
      <c r="B12" s="3">
        <f t="shared" si="0"/>
        <v>2.9900074005126953</v>
      </c>
      <c r="D12" s="4">
        <f>1628087616.87938-1628087616.87622</f>
        <v>3.1599998474121094E-3</v>
      </c>
      <c r="E12" s="3">
        <f t="shared" si="1"/>
        <v>3.1599998474121094</v>
      </c>
      <c r="G12" s="4">
        <f>1628088233.8024-1628088233.74999</f>
        <v>5.2410125732421875E-2</v>
      </c>
      <c r="H12" s="3">
        <f t="shared" si="2"/>
        <v>52.410125732421875</v>
      </c>
      <c r="J12" s="4">
        <f>1628088274.8304-1628088274.77805</f>
        <v>5.2350044250488281E-2</v>
      </c>
      <c r="K12" s="3">
        <f t="shared" si="3"/>
        <v>52.350044250488281</v>
      </c>
      <c r="M12" s="4">
        <f>1628090203.52595-1628090203.46535</f>
        <v>6.0600042343139648E-2</v>
      </c>
      <c r="N12" s="3">
        <f t="shared" si="4"/>
        <v>60.600042343139648</v>
      </c>
      <c r="P12" s="4">
        <f>1628090315.72511-1628090315.6656</f>
        <v>5.9509992599487305E-2</v>
      </c>
      <c r="Q12" s="3">
        <f t="shared" si="5"/>
        <v>59.509992599487305</v>
      </c>
    </row>
    <row r="13" spans="1:23" x14ac:dyDescent="0.3">
      <c r="A13" s="4">
        <f>1628086988.05187-1628086988.04876</f>
        <v>3.1101703643798828E-3</v>
      </c>
      <c r="B13" s="3">
        <f t="shared" si="0"/>
        <v>3.1101703643798828</v>
      </c>
      <c r="D13" s="4">
        <f>1628087617.88561-1628087617.88257</f>
        <v>3.0400753021240234E-3</v>
      </c>
      <c r="E13" s="3">
        <f t="shared" si="1"/>
        <v>3.0400753021240234</v>
      </c>
      <c r="G13" s="4">
        <f>1628088234.8584-1628088234.80588</f>
        <v>5.2520036697387695E-2</v>
      </c>
      <c r="H13" s="3">
        <f t="shared" si="2"/>
        <v>52.520036697387695</v>
      </c>
      <c r="J13" s="4">
        <f>1628088275.88639-1628088275.83394</f>
        <v>5.2449941635131836E-2</v>
      </c>
      <c r="K13" s="3">
        <f t="shared" si="3"/>
        <v>52.449941635131836</v>
      </c>
      <c r="M13" s="4">
        <f>1628090204.58925-1628090204.53029</f>
        <v>5.8960199356079102E-2</v>
      </c>
      <c r="N13" s="3">
        <f t="shared" si="4"/>
        <v>58.960199356079102</v>
      </c>
      <c r="P13" s="4">
        <f>1628090316.78935-1628090316.72901</f>
        <v>6.0339927673339844E-2</v>
      </c>
      <c r="Q13" s="3">
        <f t="shared" si="5"/>
        <v>60.339927673339844</v>
      </c>
    </row>
    <row r="14" spans="1:23" x14ac:dyDescent="0.3">
      <c r="B14" s="2">
        <f>AVERAGE(B4:B13)</f>
        <v>3.1180620193481445</v>
      </c>
      <c r="E14" s="2">
        <f>AVERAGE(E4:E13)</f>
        <v>2.7900457382202148</v>
      </c>
      <c r="H14" s="2">
        <f>AVERAGE(H4:H13)</f>
        <v>52.726936340332031</v>
      </c>
      <c r="K14" s="2">
        <f>AVERAGE(K4:K13)</f>
        <v>52.32701301574707</v>
      </c>
      <c r="N14" s="2">
        <f>AVERAGE(N4:N13)</f>
        <v>59.831976890563965</v>
      </c>
      <c r="Q14" s="2">
        <f>AVERAGE(Q4:Q13)</f>
        <v>59.602975845336914</v>
      </c>
    </row>
    <row r="17" spans="1:23" ht="27" customHeight="1" x14ac:dyDescent="0.3">
      <c r="M17" s="9" t="s">
        <v>8</v>
      </c>
      <c r="N17" s="9"/>
      <c r="P17" s="9" t="s">
        <v>10</v>
      </c>
      <c r="Q17" s="9"/>
      <c r="S17" s="9" t="s">
        <v>9</v>
      </c>
      <c r="T17" s="9"/>
      <c r="V17" s="9" t="s">
        <v>11</v>
      </c>
      <c r="W17" s="9"/>
    </row>
    <row r="18" spans="1:23" x14ac:dyDescent="0.3">
      <c r="D18" s="4"/>
      <c r="E18" s="3"/>
      <c r="M18" s="1" t="s">
        <v>1</v>
      </c>
      <c r="N18" s="1" t="s">
        <v>0</v>
      </c>
      <c r="P18" s="1" t="s">
        <v>1</v>
      </c>
      <c r="Q18" s="1" t="s">
        <v>0</v>
      </c>
      <c r="S18" s="1" t="s">
        <v>1</v>
      </c>
      <c r="T18" s="1" t="s">
        <v>0</v>
      </c>
      <c r="V18" s="1" t="s">
        <v>1</v>
      </c>
      <c r="W18" s="1" t="s">
        <v>0</v>
      </c>
    </row>
    <row r="19" spans="1:23" x14ac:dyDescent="0.3">
      <c r="D19" s="4"/>
      <c r="E19" s="3"/>
      <c r="M19" s="4">
        <f>1628608531.86781-1628608531.80164</f>
        <v>6.6169977188110352E-2</v>
      </c>
      <c r="N19" s="3">
        <f>M19*1000</f>
        <v>66.169977188110352</v>
      </c>
      <c r="P19" s="4">
        <f>1628608736.09559-1628608736.03032</f>
        <v>6.5270185470581055E-2</v>
      </c>
      <c r="Q19" s="3">
        <f>P19*1000</f>
        <v>65.270185470581055</v>
      </c>
      <c r="S19" s="4">
        <f>1628608916.23996-1628608916.17177</f>
        <v>6.8189859390258789E-2</v>
      </c>
      <c r="T19" s="3">
        <f>S19*1000</f>
        <v>68.189859390258789</v>
      </c>
      <c r="V19" s="4">
        <f>1628608970.61993-1628608970.55479</f>
        <v>6.5140008926391602E-2</v>
      </c>
      <c r="W19" s="3">
        <f>V19*1000</f>
        <v>65.140008926391602</v>
      </c>
    </row>
    <row r="20" spans="1:23" x14ac:dyDescent="0.3">
      <c r="M20" s="4">
        <f>1628608532.93588-1628608532.87221</f>
        <v>6.3669919967651367E-2</v>
      </c>
      <c r="N20" s="3">
        <f t="shared" ref="N20:N28" si="6">M20*1000</f>
        <v>63.669919967651367</v>
      </c>
      <c r="P20" s="4">
        <f>1628608737.16373-1628608737.09993</f>
        <v>6.3799858093261719E-2</v>
      </c>
      <c r="Q20" s="3">
        <f t="shared" ref="Q20:Q28" si="7">P20*1000</f>
        <v>63.799858093261719</v>
      </c>
      <c r="S20" s="4">
        <f>1628608917.31107-1628608917.24425</f>
        <v>6.6819906234741211E-2</v>
      </c>
      <c r="T20" s="3">
        <f t="shared" ref="T20:T28" si="8">S20*1000</f>
        <v>66.819906234741211</v>
      </c>
      <c r="V20" s="4">
        <f>1628608971.69198-1628608971.62419</f>
        <v>6.7789793014526367E-2</v>
      </c>
      <c r="W20" s="3">
        <f t="shared" ref="W20:W28" si="9">V20*1000</f>
        <v>67.789793014526367</v>
      </c>
    </row>
    <row r="21" spans="1:23" x14ac:dyDescent="0.3">
      <c r="M21" s="4">
        <f>1628608534.00361-1628608533.94009</f>
        <v>6.3519954681396484E-2</v>
      </c>
      <c r="N21" s="3">
        <f t="shared" si="6"/>
        <v>63.519954681396484</v>
      </c>
      <c r="P21" s="4">
        <f>1628608738.23185-1628608738.16742</f>
        <v>6.4429998397827148E-2</v>
      </c>
      <c r="Q21" s="3">
        <f t="shared" si="7"/>
        <v>64.429998397827148</v>
      </c>
      <c r="S21" s="4">
        <f>1628608918.37966-1628608918.31527</f>
        <v>6.4389944076538086E-2</v>
      </c>
      <c r="T21" s="3">
        <f t="shared" si="8"/>
        <v>64.389944076538086</v>
      </c>
      <c r="V21" s="4">
        <f>1628608972.76362-1628608972.69603</f>
        <v>6.7589998245239258E-2</v>
      </c>
      <c r="W21" s="3">
        <f t="shared" si="9"/>
        <v>67.589998245239258</v>
      </c>
    </row>
    <row r="22" spans="1:23" x14ac:dyDescent="0.3">
      <c r="M22" s="4">
        <f>1628608535.07226-1628608535.00768</f>
        <v>6.4579963684082031E-2</v>
      </c>
      <c r="N22" s="3">
        <f t="shared" si="6"/>
        <v>64.579963684082031</v>
      </c>
      <c r="P22" s="4">
        <f>1628608739.29923-1628608739.23595</f>
        <v>6.3280105590820313E-2</v>
      </c>
      <c r="Q22" s="3">
        <f t="shared" si="7"/>
        <v>63.280105590820313</v>
      </c>
      <c r="S22" s="4">
        <f>1628608919.45166-1628608919.3837</f>
        <v>6.7960023880004883E-2</v>
      </c>
      <c r="T22" s="3">
        <f t="shared" si="8"/>
        <v>67.960023880004883</v>
      </c>
      <c r="V22" s="4">
        <f>1628608973.8355-1628608973.76775</f>
        <v>6.7749977111816406E-2</v>
      </c>
      <c r="W22" s="3">
        <f t="shared" si="9"/>
        <v>67.749977111816406</v>
      </c>
    </row>
    <row r="23" spans="1:23" x14ac:dyDescent="0.3">
      <c r="M23" s="4">
        <f>1628608536.13946-1628608536.07634</f>
        <v>6.3120126724243164E-2</v>
      </c>
      <c r="N23" s="3">
        <f t="shared" si="6"/>
        <v>63.120126724243164</v>
      </c>
      <c r="P23" s="4">
        <f>1628608740.36782-1628608740.30248</f>
        <v>6.5340042114257813E-2</v>
      </c>
      <c r="Q23" s="3">
        <f t="shared" si="7"/>
        <v>65.340042114257813</v>
      </c>
      <c r="S23" s="4">
        <f>1628608920.51962-1628608920.455</f>
        <v>6.4620018005371094E-2</v>
      </c>
      <c r="T23" s="3">
        <f t="shared" si="8"/>
        <v>64.620018005371094</v>
      </c>
      <c r="V23" s="4">
        <f>1628608974.90443-1628608974.83958</f>
        <v>6.4849853515625E-2</v>
      </c>
      <c r="W23" s="3">
        <f t="shared" si="9"/>
        <v>64.849853515625</v>
      </c>
    </row>
    <row r="24" spans="1:23" x14ac:dyDescent="0.3">
      <c r="M24" s="4">
        <f>1628608537.20793-1628608537.14317</f>
        <v>6.4759969711303711E-2</v>
      </c>
      <c r="N24" s="3">
        <f t="shared" si="6"/>
        <v>64.759969711303711</v>
      </c>
      <c r="P24" s="4">
        <f>1628608741.43566-1628608741.37195</f>
        <v>6.370997428894043E-2</v>
      </c>
      <c r="Q24" s="3">
        <f t="shared" si="7"/>
        <v>63.70997428894043</v>
      </c>
      <c r="S24" s="4">
        <f>1628608921.59168-1628608921.52385</f>
        <v>6.7830085754394531E-2</v>
      </c>
      <c r="T24" s="3">
        <f t="shared" si="8"/>
        <v>67.830085754394531</v>
      </c>
      <c r="V24" s="4">
        <f>1628608975.97531-1628608975.90857</f>
        <v>6.6740036010742188E-2</v>
      </c>
      <c r="W24" s="3">
        <f t="shared" si="9"/>
        <v>66.740036010742188</v>
      </c>
    </row>
    <row r="25" spans="1:23" x14ac:dyDescent="0.3">
      <c r="M25" s="4">
        <f>1628608538.27634-1628608538.21199</f>
        <v>6.4349889755249023E-2</v>
      </c>
      <c r="N25" s="3">
        <f t="shared" si="6"/>
        <v>64.349889755249023</v>
      </c>
      <c r="P25" s="4">
        <f>1628608742.50336-1628608742.43987</f>
        <v>6.3489913940429688E-2</v>
      </c>
      <c r="Q25" s="3">
        <f t="shared" si="7"/>
        <v>63.489913940429688</v>
      </c>
      <c r="S25" s="4">
        <f>1628608922.664-1628608922.5961</f>
        <v>6.7899942398071289E-2</v>
      </c>
      <c r="T25" s="3">
        <f t="shared" si="8"/>
        <v>67.899942398071289</v>
      </c>
      <c r="V25" s="4">
        <f>1628608977.04344-1628608976.97862</f>
        <v>6.4820051193237305E-2</v>
      </c>
      <c r="W25" s="3">
        <f t="shared" si="9"/>
        <v>64.820051193237305</v>
      </c>
    </row>
    <row r="26" spans="1:23" x14ac:dyDescent="0.3">
      <c r="M26" s="4">
        <f>1628608539.34333-1628608539.28049</f>
        <v>6.2839984893798828E-2</v>
      </c>
      <c r="N26" s="3">
        <f t="shared" si="6"/>
        <v>62.839984893798828</v>
      </c>
      <c r="P26" s="4">
        <f>1628608743.57111-1628608743.50743</f>
        <v>6.3679933547973633E-2</v>
      </c>
      <c r="Q26" s="3">
        <f t="shared" si="7"/>
        <v>63.679933547973633</v>
      </c>
      <c r="S26" s="4">
        <f>1628608923.73592-1628608923.66801</f>
        <v>6.7909955978393555E-2</v>
      </c>
      <c r="T26" s="3">
        <f t="shared" si="8"/>
        <v>67.909955978393555</v>
      </c>
      <c r="V26" s="4">
        <f>1628608978.11615-1628608978.0476</f>
        <v>6.8549871444702148E-2</v>
      </c>
      <c r="W26" s="3">
        <f t="shared" si="9"/>
        <v>68.549871444702148</v>
      </c>
    </row>
    <row r="27" spans="1:23" x14ac:dyDescent="0.3">
      <c r="M27" s="4">
        <f>1628608540.41135-1628608540.34743</f>
        <v>6.3920021057128906E-2</v>
      </c>
      <c r="N27" s="3">
        <f t="shared" si="6"/>
        <v>63.920021057128906</v>
      </c>
      <c r="P27" s="4">
        <f>1628608744.63952-1628608744.57523</f>
        <v>6.4290046691894531E-2</v>
      </c>
      <c r="Q27" s="3">
        <f t="shared" si="7"/>
        <v>64.290046691894531</v>
      </c>
      <c r="S27" s="4">
        <f>1628608924.80372-1628608924.73931</f>
        <v>6.4409971237182617E-2</v>
      </c>
      <c r="T27" s="3">
        <f t="shared" si="8"/>
        <v>64.409971237182617</v>
      </c>
      <c r="V27" s="4">
        <f>1628608979.18728-1628608979.12031</f>
        <v>6.6969871520996094E-2</v>
      </c>
      <c r="W27" s="3">
        <f t="shared" si="9"/>
        <v>66.969871520996094</v>
      </c>
    </row>
    <row r="28" spans="1:23" x14ac:dyDescent="0.3">
      <c r="M28" s="4">
        <f>1628608541.47994-1628608541.41544</f>
        <v>6.4499855041503906E-2</v>
      </c>
      <c r="N28" s="3">
        <f t="shared" si="6"/>
        <v>64.499855041503906</v>
      </c>
      <c r="P28" s="4">
        <f>1628608745.70745-1628608745.6436</f>
        <v>6.3849925994873047E-2</v>
      </c>
      <c r="Q28" s="3">
        <f t="shared" si="7"/>
        <v>63.849925994873047</v>
      </c>
      <c r="S28" s="4">
        <f>1628608925.87594-1628608925.8078</f>
        <v>6.8140029907226563E-2</v>
      </c>
      <c r="T28" s="3">
        <f t="shared" si="8"/>
        <v>68.140029907226563</v>
      </c>
      <c r="V28" s="4">
        <f>1628608980.25551-1628608980.19153</f>
        <v>6.39801025390625E-2</v>
      </c>
      <c r="W28" s="3">
        <f t="shared" si="9"/>
        <v>63.9801025390625</v>
      </c>
    </row>
    <row r="29" spans="1:23" x14ac:dyDescent="0.3">
      <c r="N29" s="2">
        <f>AVERAGE(N19:N28)</f>
        <v>64.142966270446777</v>
      </c>
      <c r="Q29" s="2">
        <f>AVERAGE(Q19:Q28)</f>
        <v>64.113998413085938</v>
      </c>
      <c r="T29" s="2">
        <f>AVERAGE(T19:T28)</f>
        <v>66.816973686218262</v>
      </c>
      <c r="W29" s="2">
        <f>AVERAGE(W19:W28)</f>
        <v>66.417956352233887</v>
      </c>
    </row>
    <row r="31" spans="1:23" ht="23.4" x14ac:dyDescent="0.45">
      <c r="A31" s="7" t="s">
        <v>66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35.4" customHeight="1" x14ac:dyDescent="0.3">
      <c r="A32" s="8" t="s">
        <v>2</v>
      </c>
      <c r="B32" s="8"/>
      <c r="D32" s="8" t="s">
        <v>3</v>
      </c>
      <c r="E32" s="8"/>
      <c r="G32" s="8" t="s">
        <v>4</v>
      </c>
      <c r="H32" s="8"/>
      <c r="J32" s="8" t="s">
        <v>5</v>
      </c>
      <c r="K32" s="8"/>
      <c r="M32" s="9" t="s">
        <v>8</v>
      </c>
      <c r="N32" s="9"/>
      <c r="P32" s="9" t="s">
        <v>10</v>
      </c>
      <c r="Q32" s="9"/>
      <c r="S32" s="9" t="s">
        <v>9</v>
      </c>
      <c r="T32" s="9"/>
      <c r="V32" s="9" t="s">
        <v>11</v>
      </c>
      <c r="W32" s="9"/>
    </row>
    <row r="33" spans="1:51" ht="14.4" customHeight="1" x14ac:dyDescent="0.3">
      <c r="A33" s="1" t="s">
        <v>1</v>
      </c>
      <c r="B33" s="1" t="s">
        <v>0</v>
      </c>
      <c r="D33" s="1" t="s">
        <v>1</v>
      </c>
      <c r="E33" s="1" t="s">
        <v>0</v>
      </c>
      <c r="G33" s="1" t="s">
        <v>1</v>
      </c>
      <c r="H33" s="1" t="s">
        <v>0</v>
      </c>
      <c r="J33" s="1" t="s">
        <v>1</v>
      </c>
      <c r="K33" s="1" t="s">
        <v>0</v>
      </c>
      <c r="M33" s="1" t="s">
        <v>1</v>
      </c>
      <c r="N33" s="1" t="s">
        <v>0</v>
      </c>
      <c r="P33" s="1" t="s">
        <v>1</v>
      </c>
      <c r="Q33" s="1" t="s">
        <v>0</v>
      </c>
      <c r="S33" s="1" t="s">
        <v>1</v>
      </c>
      <c r="T33" s="1" t="s">
        <v>0</v>
      </c>
      <c r="V33" s="1" t="s">
        <v>1</v>
      </c>
      <c r="W33" s="1" t="s">
        <v>0</v>
      </c>
    </row>
    <row r="34" spans="1:51" x14ac:dyDescent="0.3">
      <c r="A34" s="4">
        <f>1628862925.92663-1628862925.90799</f>
        <v>1.8640041351318359E-2</v>
      </c>
      <c r="B34" s="3">
        <f>A34*1000</f>
        <v>18.640041351318359</v>
      </c>
      <c r="D34" s="4">
        <f>1628862974.02083-1628862974.00967</f>
        <v>1.1159896850585938E-2</v>
      </c>
      <c r="E34" s="3">
        <f>D34*1000</f>
        <v>11.159896850585938</v>
      </c>
      <c r="G34" s="4">
        <f>1628863276.59595-1628863276.51333</f>
        <v>8.2619905471801758E-2</v>
      </c>
      <c r="H34" s="3">
        <f>G34*1000</f>
        <v>82.619905471801758</v>
      </c>
      <c r="J34" s="4">
        <f>1628863306.82956-1628863306.79323</f>
        <v>3.6329984664916992E-2</v>
      </c>
      <c r="K34" s="3">
        <f>J34*1000</f>
        <v>36.329984664916992</v>
      </c>
      <c r="M34" s="4">
        <f>1628863895.78157-1628863895.6745</f>
        <v>0.10706996917724609</v>
      </c>
      <c r="N34" s="3">
        <f>M34*1000</f>
        <v>107.06996917724609</v>
      </c>
      <c r="P34" s="4">
        <f>1628863946.13567-1628863946.0473</f>
        <v>8.8369846343994141E-2</v>
      </c>
      <c r="Q34" s="3">
        <f>P34*1000</f>
        <v>88.369846343994141</v>
      </c>
      <c r="S34" s="4">
        <f>1628864061.38377-1628864061.26087</f>
        <v>0.12290000915527344</v>
      </c>
      <c r="T34" s="3">
        <f>S34*1000</f>
        <v>122.90000915527344</v>
      </c>
      <c r="V34" s="4">
        <f>1628864186.80047-1628864186.69449</f>
        <v>0.10598015785217285</v>
      </c>
      <c r="W34" s="3">
        <f t="shared" ref="W34:W43" si="10">V34*1000</f>
        <v>105.98015785217285</v>
      </c>
    </row>
    <row r="35" spans="1:51" x14ac:dyDescent="0.3">
      <c r="A35" s="4">
        <f>1628862926.96056-1628862926.9418</f>
        <v>1.8759965896606445E-2</v>
      </c>
      <c r="B35" s="3">
        <f t="shared" ref="B35:B43" si="11">A35*1000</f>
        <v>18.759965896606445</v>
      </c>
      <c r="D35" s="4">
        <f>1628862975.05607-1628862975.03461</f>
        <v>2.1460056304931641E-2</v>
      </c>
      <c r="E35" s="3">
        <f t="shared" ref="E35:E43" si="12">D35*1000</f>
        <v>21.460056304931641</v>
      </c>
      <c r="G35" s="4">
        <f>1628863277.6919-1628863277.61092</f>
        <v>8.0980062484741211E-2</v>
      </c>
      <c r="H35" s="3">
        <f t="shared" ref="H35:H43" si="13">G35*1000</f>
        <v>80.980062484741211</v>
      </c>
      <c r="J35" s="4">
        <f>1628863307.87991-1628863307.84043</f>
        <v>3.9479970932006836E-2</v>
      </c>
      <c r="K35" s="3">
        <f t="shared" ref="K35:K43" si="14">J35*1000</f>
        <v>39.479970932006836</v>
      </c>
      <c r="M35" s="4">
        <f>1628863896.94827-1628863896.79798</f>
        <v>0.15029001235961914</v>
      </c>
      <c r="N35" s="3">
        <f t="shared" ref="N35:N43" si="15">M35*1000</f>
        <v>150.29001235961914</v>
      </c>
      <c r="P35" s="4">
        <f>1628863947.23541-1628863947.14663</f>
        <v>8.8779926300048828E-2</v>
      </c>
      <c r="Q35" s="3">
        <f t="shared" ref="Q35:Q43" si="16">P35*1000</f>
        <v>88.779926300048828</v>
      </c>
      <c r="S35" s="4">
        <f>1628864062.62084-1628864062.39985</f>
        <v>0.22099018096923828</v>
      </c>
      <c r="T35" s="3">
        <f t="shared" ref="T35:T43" si="17">S35*1000</f>
        <v>220.99018096923828</v>
      </c>
      <c r="V35" s="4">
        <f>1628864187.9173-1628864187.815</f>
        <v>0.10229992866516113</v>
      </c>
      <c r="W35" s="3">
        <f t="shared" si="10"/>
        <v>102.29992866516113</v>
      </c>
    </row>
    <row r="36" spans="1:51" x14ac:dyDescent="0.3">
      <c r="A36" s="4">
        <f>1628862927.98214-1628862927.97197</f>
        <v>1.016998291015625E-2</v>
      </c>
      <c r="B36" s="3">
        <f t="shared" si="11"/>
        <v>10.16998291015625</v>
      </c>
      <c r="D36" s="4">
        <f>1628862976.09551-1628862976.07328</f>
        <v>2.2229909896850586E-2</v>
      </c>
      <c r="E36" s="3">
        <f t="shared" si="12"/>
        <v>22.229909896850586</v>
      </c>
      <c r="G36" s="4">
        <f>1628863278.77909-1628863278.71189</f>
        <v>6.7199945449829102E-2</v>
      </c>
      <c r="H36" s="3">
        <f t="shared" si="13"/>
        <v>67.199945449829102</v>
      </c>
      <c r="J36" s="4">
        <f>1628863308.97001-1628863308.89545</f>
        <v>7.4559926986694336E-2</v>
      </c>
      <c r="K36" s="3">
        <f t="shared" si="14"/>
        <v>74.559926986694336</v>
      </c>
      <c r="M36" s="4">
        <f>1628863898.10646-1628863897.96404</f>
        <v>0.14242005348205566</v>
      </c>
      <c r="N36" s="3">
        <f t="shared" si="15"/>
        <v>142.42005348205566</v>
      </c>
      <c r="P36" s="4">
        <f>1628863948.35639-1628863948.24664</f>
        <v>0.10975003242492676</v>
      </c>
      <c r="Q36" s="3">
        <f t="shared" si="16"/>
        <v>109.75003242492676</v>
      </c>
      <c r="S36" s="4">
        <f>1628864063.78728-1628864063.63654</f>
        <v>0.15074014663696289</v>
      </c>
      <c r="T36" s="3">
        <f t="shared" si="17"/>
        <v>150.74014663696289</v>
      </c>
      <c r="V36" s="4">
        <f>1628864189.02914-1628864188.93351</f>
        <v>9.562993049621582E-2</v>
      </c>
      <c r="W36" s="3">
        <f t="shared" si="10"/>
        <v>95.62993049621582</v>
      </c>
    </row>
    <row r="37" spans="1:51" x14ac:dyDescent="0.3">
      <c r="A37" s="4">
        <f>1628862929.00081-1628862928.99063</f>
        <v>1.0179996490478516E-2</v>
      </c>
      <c r="B37" s="3">
        <f t="shared" si="11"/>
        <v>10.179996490478516</v>
      </c>
      <c r="D37" s="4">
        <f>1628862977.13514-1628862977.11369</f>
        <v>2.1450042724609375E-2</v>
      </c>
      <c r="E37" s="3">
        <f t="shared" si="12"/>
        <v>21.450042724609375</v>
      </c>
      <c r="G37" s="4">
        <f>1628863279.86843-1628863279.79656</f>
        <v>7.1869850158691406E-2</v>
      </c>
      <c r="H37" s="3">
        <f t="shared" si="13"/>
        <v>71.869850158691406</v>
      </c>
      <c r="J37" s="4">
        <f>1628863310.06605-1628863309.98767</f>
        <v>7.8380107879638672E-2</v>
      </c>
      <c r="K37" s="3">
        <f t="shared" si="14"/>
        <v>78.380107879638672</v>
      </c>
      <c r="M37" s="4">
        <f>1628863899.27774-1628863899.12219</f>
        <v>0.15555000305175781</v>
      </c>
      <c r="N37" s="3">
        <f t="shared" si="15"/>
        <v>155.55000305175781</v>
      </c>
      <c r="P37" s="4">
        <f>1628863949.51429-1628863949.37246</f>
        <v>0.1418302059173584</v>
      </c>
      <c r="Q37" s="3">
        <f t="shared" si="16"/>
        <v>141.8302059173584</v>
      </c>
      <c r="S37" s="4">
        <f>1628864064.97356-1628864064.80331</f>
        <v>0.17025017738342285</v>
      </c>
      <c r="T37" s="3">
        <f t="shared" si="17"/>
        <v>170.25017738342285</v>
      </c>
      <c r="V37" s="4">
        <f>1628864190.13766-1628864190.04461</f>
        <v>9.3050003051757813E-2</v>
      </c>
      <c r="W37" s="3">
        <f t="shared" si="10"/>
        <v>93.050003051757813</v>
      </c>
    </row>
    <row r="38" spans="1:51" x14ac:dyDescent="0.3">
      <c r="A38" s="4">
        <f>1628862930.01963-1628862930.00932</f>
        <v>1.0309934616088867E-2</v>
      </c>
      <c r="B38" s="3">
        <f t="shared" si="11"/>
        <v>10.309934616088867</v>
      </c>
      <c r="D38" s="4">
        <f>1628862978.15782-1628862978.14732</f>
        <v>1.0499954223632813E-2</v>
      </c>
      <c r="E38" s="3">
        <f t="shared" si="12"/>
        <v>10.499954223632813</v>
      </c>
      <c r="G38" s="4">
        <f>1628863280.9639-1628863280.88367</f>
        <v>8.0229997634887695E-2</v>
      </c>
      <c r="H38" s="3">
        <f t="shared" si="13"/>
        <v>80.229997634887695</v>
      </c>
      <c r="J38" s="4">
        <f>1628863311.16424-1628863311.08344</f>
        <v>8.079981803894043E-2</v>
      </c>
      <c r="K38" s="3">
        <f t="shared" si="14"/>
        <v>80.79981803894043</v>
      </c>
      <c r="M38" s="4">
        <f>1628863900.44107-1628863900.2936</f>
        <v>0.14746999740600586</v>
      </c>
      <c r="N38" s="3">
        <f t="shared" si="15"/>
        <v>147.46999740600586</v>
      </c>
      <c r="P38" s="4">
        <f>1628863950.67894-1628863950.53061</f>
        <v>0.1483299732208252</v>
      </c>
      <c r="Q38" s="3">
        <f t="shared" si="16"/>
        <v>148.3299732208252</v>
      </c>
      <c r="S38" s="4">
        <f>1628864066.16532-1628864065.99166</f>
        <v>0.1736598014831543</v>
      </c>
      <c r="T38" s="3">
        <f t="shared" si="17"/>
        <v>173.6598014831543</v>
      </c>
      <c r="V38" s="4">
        <f>1628864191.24247-1628864191.14924</f>
        <v>9.3230009078979492E-2</v>
      </c>
      <c r="W38" s="3">
        <f t="shared" si="10"/>
        <v>93.230009078979492</v>
      </c>
    </row>
    <row r="39" spans="1:51" x14ac:dyDescent="0.3">
      <c r="A39" s="4">
        <f>1628862931.03824-1628862931.02797</f>
        <v>1.0269880294799805E-2</v>
      </c>
      <c r="B39" s="3">
        <f t="shared" si="11"/>
        <v>10.269880294799805</v>
      </c>
      <c r="D39" s="4">
        <f>1628862979.17655-1628862979.16627</f>
        <v>1.027989387512207E-2</v>
      </c>
      <c r="E39" s="3">
        <f t="shared" si="12"/>
        <v>10.27989387512207</v>
      </c>
      <c r="G39" s="4">
        <f>1628863282.05302-1628863281.98369</f>
        <v>6.9329977035522461E-2</v>
      </c>
      <c r="H39" s="3">
        <f t="shared" si="13"/>
        <v>69.329977035522461</v>
      </c>
      <c r="J39" s="4">
        <f>1628863312.2643-1628863312.18297</f>
        <v>8.1330060958862305E-2</v>
      </c>
      <c r="K39" s="3">
        <f t="shared" si="14"/>
        <v>81.330060958862305</v>
      </c>
      <c r="M39" s="4">
        <f>1628863901.59501-1628863901.45695</f>
        <v>0.13806009292602539</v>
      </c>
      <c r="N39" s="3">
        <f t="shared" si="15"/>
        <v>138.06009292602539</v>
      </c>
      <c r="P39" s="4">
        <f>1628863951.84337-1628863951.69528</f>
        <v>0.14808988571166992</v>
      </c>
      <c r="Q39" s="3">
        <f t="shared" si="16"/>
        <v>148.08988571166992</v>
      </c>
      <c r="S39" s="4">
        <f>1628864067.34338-1628864067.18373</f>
        <v>0.15965008735656738</v>
      </c>
      <c r="T39" s="3">
        <f t="shared" si="17"/>
        <v>159.65008735656738</v>
      </c>
      <c r="V39" s="4">
        <f>1628864192.34724-1628864192.25318</f>
        <v>9.4059944152832031E-2</v>
      </c>
      <c r="W39" s="3">
        <f t="shared" si="10"/>
        <v>94.059944152832031</v>
      </c>
    </row>
    <row r="40" spans="1:51" x14ac:dyDescent="0.3">
      <c r="A40" s="4">
        <f>1628862932.05816-1628862932.04685</f>
        <v>1.1310100555419922E-2</v>
      </c>
      <c r="B40" s="3">
        <f t="shared" si="11"/>
        <v>11.310100555419922</v>
      </c>
      <c r="D40" s="4">
        <f>1628862980.1954-1628862980.18512</f>
        <v>1.027989387512207E-2</v>
      </c>
      <c r="E40" s="3">
        <f t="shared" si="12"/>
        <v>10.27989387512207</v>
      </c>
      <c r="G40" s="4">
        <f>1628863283.14008-1628863283.07237</f>
        <v>6.7709922790527344E-2</v>
      </c>
      <c r="H40" s="3">
        <f t="shared" si="13"/>
        <v>67.709922790527344</v>
      </c>
      <c r="J40" s="4">
        <f>1628863313.3549-1628863313.28419</f>
        <v>7.0709943771362305E-2</v>
      </c>
      <c r="K40" s="3">
        <f t="shared" si="14"/>
        <v>70.709943771362305</v>
      </c>
      <c r="M40" s="4">
        <f>1628863902.77135-1628863902.61132</f>
        <v>0.16002988815307617</v>
      </c>
      <c r="N40" s="3">
        <f t="shared" si="15"/>
        <v>160.02988815307617</v>
      </c>
      <c r="P40" s="4">
        <f>1628863953.00908-1628863952.85931</f>
        <v>0.14977002143859863</v>
      </c>
      <c r="Q40" s="3">
        <f t="shared" si="16"/>
        <v>149.77002143859863</v>
      </c>
      <c r="S40" s="4">
        <f>1628864068.5207-1628864068.35926</f>
        <v>0.16143989562988281</v>
      </c>
      <c r="T40" s="3">
        <f t="shared" si="17"/>
        <v>161.43989562988281</v>
      </c>
      <c r="V40" s="4">
        <f>1628864193.45108-1628864193.35785</f>
        <v>9.3230009078979492E-2</v>
      </c>
      <c r="W40" s="3">
        <f t="shared" si="10"/>
        <v>93.230009078979492</v>
      </c>
    </row>
    <row r="41" spans="1:51" x14ac:dyDescent="0.3">
      <c r="A41" s="4">
        <f>1628862933.09343-1628862933.07204</f>
        <v>2.1389961242675781E-2</v>
      </c>
      <c r="B41" s="3">
        <f t="shared" si="11"/>
        <v>21.389961242675781</v>
      </c>
      <c r="D41" s="4">
        <f>1628862981.21427-1628862981.20391</f>
        <v>1.0360002517700195E-2</v>
      </c>
      <c r="E41" s="3">
        <f t="shared" si="12"/>
        <v>10.360002517700195</v>
      </c>
      <c r="G41" s="4">
        <f>1628863284.22653-1628863284.15715</f>
        <v>6.9380044937133789E-2</v>
      </c>
      <c r="H41" s="3">
        <f t="shared" si="13"/>
        <v>69.380044937133789</v>
      </c>
      <c r="J41" s="4">
        <f>1628863314.44028-1628863314.37411</f>
        <v>6.6169977188110352E-2</v>
      </c>
      <c r="K41" s="3">
        <f t="shared" si="14"/>
        <v>66.169977188110352</v>
      </c>
      <c r="M41" s="4">
        <f>1628863903.95618-1628863903.78715</f>
        <v>0.16903018951416016</v>
      </c>
      <c r="N41" s="3">
        <f t="shared" si="15"/>
        <v>169.03018951416016</v>
      </c>
      <c r="P41" s="4">
        <f>1628863954.17407-1628863954.02551</f>
        <v>0.1485598087310791</v>
      </c>
      <c r="Q41" s="3">
        <f t="shared" si="16"/>
        <v>148.5598087310791</v>
      </c>
      <c r="S41" s="4">
        <f>1628864069.70039-1628864069.53848</f>
        <v>0.16191005706787109</v>
      </c>
      <c r="T41" s="3">
        <f t="shared" si="17"/>
        <v>161.91005706787109</v>
      </c>
      <c r="V41" s="4">
        <f>1628864194.5571-1628864194.46194</f>
        <v>9.5160007476806641E-2</v>
      </c>
      <c r="W41" s="3">
        <f t="shared" si="10"/>
        <v>95.160007476806641</v>
      </c>
    </row>
    <row r="42" spans="1:51" x14ac:dyDescent="0.3">
      <c r="A42" s="4">
        <f>1628862934.13179-1628862934.11054</f>
        <v>2.1250009536743164E-2</v>
      </c>
      <c r="B42" s="3">
        <f t="shared" si="11"/>
        <v>21.250009536743164</v>
      </c>
      <c r="D42" s="4">
        <f>1628862982.23371-1628862982.22319</f>
        <v>1.0519981384277344E-2</v>
      </c>
      <c r="E42" s="3">
        <f t="shared" si="12"/>
        <v>10.519981384277344</v>
      </c>
      <c r="G42" s="4">
        <f>1628863285.28189-1628863285.24113</f>
        <v>4.0759801864624023E-2</v>
      </c>
      <c r="H42" s="3">
        <f t="shared" si="13"/>
        <v>40.759801864624023</v>
      </c>
      <c r="J42" s="4">
        <f>1628863315.52578-1628863315.4567</f>
        <v>6.9079875946044922E-2</v>
      </c>
      <c r="K42" s="3">
        <f t="shared" si="14"/>
        <v>69.079875946044922</v>
      </c>
      <c r="M42" s="4">
        <f>1628863905.13954-1628863904.9746</f>
        <v>0.16493988037109375</v>
      </c>
      <c r="N42" s="3">
        <f t="shared" si="15"/>
        <v>164.93988037109375</v>
      </c>
      <c r="P42" s="4">
        <f>1628863955.34818-1628863955.19003</f>
        <v>0.15814995765686035</v>
      </c>
      <c r="Q42" s="3">
        <f t="shared" si="16"/>
        <v>158.14995765686035</v>
      </c>
      <c r="S42" s="4">
        <f>1628864070.88917-1628864070.71817</f>
        <v>0.17100000381469727</v>
      </c>
      <c r="T42" s="3">
        <f t="shared" si="17"/>
        <v>171.00000381469727</v>
      </c>
      <c r="V42" s="4">
        <f>1628864195.66149-1628864195.56776</f>
        <v>9.3729972839355469E-2</v>
      </c>
      <c r="W42" s="3">
        <f t="shared" si="10"/>
        <v>93.729972839355469</v>
      </c>
    </row>
    <row r="43" spans="1:51" x14ac:dyDescent="0.3">
      <c r="A43" s="4">
        <f>1628862935.16725-1628862935.14824</f>
        <v>1.9009828567504883E-2</v>
      </c>
      <c r="B43" s="3">
        <f t="shared" si="11"/>
        <v>19.009828567504883</v>
      </c>
      <c r="D43" s="4">
        <f>1628862983.26937-1628862983.24714</f>
        <v>2.2230148315429688E-2</v>
      </c>
      <c r="E43" s="3">
        <f t="shared" si="12"/>
        <v>22.230148315429688</v>
      </c>
      <c r="G43" s="4">
        <f>1628863286.3328-1628863286.29637</f>
        <v>3.6429882049560547E-2</v>
      </c>
      <c r="H43" s="3">
        <f t="shared" si="13"/>
        <v>36.429882049560547</v>
      </c>
      <c r="J43" s="4">
        <f>1628863316.59424-1628863316.54031</f>
        <v>5.3930044174194336E-2</v>
      </c>
      <c r="K43" s="3">
        <f t="shared" si="14"/>
        <v>53.930044174194336</v>
      </c>
      <c r="M43" s="4">
        <f>1628863906.31616-1628863906.15725</f>
        <v>0.15891003608703613</v>
      </c>
      <c r="N43" s="3">
        <f t="shared" si="15"/>
        <v>158.91003608703613</v>
      </c>
      <c r="P43" s="4">
        <f>1628863956.51228-1628863956.36578</f>
        <v>0.1464998722076416</v>
      </c>
      <c r="Q43" s="3">
        <f t="shared" si="16"/>
        <v>146.4998722076416</v>
      </c>
      <c r="S43" s="4">
        <f>1628864072.05901-1628864071.907</f>
        <v>0.15200996398925781</v>
      </c>
      <c r="T43" s="3">
        <f t="shared" si="17"/>
        <v>152.00996398925781</v>
      </c>
      <c r="V43" s="4">
        <f>1628864196.76629-1628864196.67268</f>
        <v>9.3610048294067383E-2</v>
      </c>
      <c r="W43" s="3">
        <f t="shared" si="10"/>
        <v>93.610048294067383</v>
      </c>
    </row>
    <row r="44" spans="1:51" x14ac:dyDescent="0.3">
      <c r="B44" s="2">
        <f>AVERAGE(B34:B43)</f>
        <v>15.128970146179199</v>
      </c>
      <c r="E44" s="2">
        <f>AVERAGE(E34:E43)</f>
        <v>15.046977996826172</v>
      </c>
      <c r="H44" s="2">
        <f>AVERAGE(H34:H43)</f>
        <v>66.650938987731934</v>
      </c>
      <c r="K44" s="2">
        <f>AVERAGE(K34:K43)</f>
        <v>65.076971054077148</v>
      </c>
      <c r="N44" s="2">
        <f>AVERAGE(N34:N43)</f>
        <v>149.37701225280762</v>
      </c>
      <c r="Q44" s="2">
        <f>AVERAGE(Q34:Q43)</f>
        <v>132.81295299530029</v>
      </c>
      <c r="T44" s="2">
        <f>AVERAGE(T34:T43)</f>
        <v>164.45503234863281</v>
      </c>
      <c r="W44" s="2">
        <f>AVERAGE(W34:W43)</f>
        <v>95.998001098632813</v>
      </c>
    </row>
    <row r="46" spans="1:51" ht="23.4" x14ac:dyDescent="0.45">
      <c r="A46" s="7" t="s">
        <v>65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8" spans="1:51" x14ac:dyDescent="0.3">
      <c r="B48" s="6" t="s">
        <v>12</v>
      </c>
      <c r="C48" s="6"/>
      <c r="E48" s="6" t="s">
        <v>13</v>
      </c>
      <c r="F48" s="6"/>
      <c r="H48" s="6" t="s">
        <v>15</v>
      </c>
      <c r="I48" s="6"/>
      <c r="K48" s="6" t="s">
        <v>16</v>
      </c>
      <c r="L48" s="6"/>
      <c r="N48" s="6" t="s">
        <v>14</v>
      </c>
      <c r="O48" s="6"/>
      <c r="T48" s="6" t="s">
        <v>12</v>
      </c>
      <c r="U48" s="6"/>
      <c r="W48" s="6" t="s">
        <v>13</v>
      </c>
      <c r="X48" s="6"/>
      <c r="Z48" s="6" t="s">
        <v>15</v>
      </c>
      <c r="AA48" s="6"/>
      <c r="AC48" s="6" t="s">
        <v>16</v>
      </c>
      <c r="AD48" s="6"/>
      <c r="AF48" s="6" t="s">
        <v>14</v>
      </c>
      <c r="AG48" s="6"/>
      <c r="AL48" s="6" t="s">
        <v>12</v>
      </c>
      <c r="AM48" s="6"/>
      <c r="AO48" s="6" t="s">
        <v>13</v>
      </c>
      <c r="AP48" s="6"/>
      <c r="AR48" s="6" t="s">
        <v>15</v>
      </c>
      <c r="AS48" s="6"/>
      <c r="AU48" s="6" t="s">
        <v>16</v>
      </c>
      <c r="AV48" s="6"/>
      <c r="AX48" s="6" t="s">
        <v>14</v>
      </c>
      <c r="AY48" s="6"/>
    </row>
    <row r="49" spans="2:51" ht="30.6" customHeight="1" x14ac:dyDescent="0.3">
      <c r="B49" s="8" t="s">
        <v>2</v>
      </c>
      <c r="C49" s="8"/>
      <c r="E49" s="8" t="s">
        <v>2</v>
      </c>
      <c r="F49" s="8"/>
      <c r="H49" s="8" t="s">
        <v>2</v>
      </c>
      <c r="I49" s="8"/>
      <c r="K49" s="8" t="s">
        <v>2</v>
      </c>
      <c r="L49" s="8"/>
      <c r="N49" s="8" t="s">
        <v>2</v>
      </c>
      <c r="O49" s="8"/>
      <c r="T49" s="8" t="s">
        <v>62</v>
      </c>
      <c r="U49" s="8"/>
      <c r="W49" s="8" t="s">
        <v>62</v>
      </c>
      <c r="X49" s="8"/>
      <c r="Z49" s="8" t="s">
        <v>62</v>
      </c>
      <c r="AA49" s="8"/>
      <c r="AC49" s="8" t="s">
        <v>62</v>
      </c>
      <c r="AD49" s="8"/>
      <c r="AF49" s="8" t="s">
        <v>62</v>
      </c>
      <c r="AG49" s="8"/>
      <c r="AL49" s="8" t="s">
        <v>63</v>
      </c>
      <c r="AM49" s="8"/>
      <c r="AO49" s="8" t="s">
        <v>63</v>
      </c>
      <c r="AP49" s="8"/>
      <c r="AR49" s="8" t="s">
        <v>63</v>
      </c>
      <c r="AS49" s="8"/>
      <c r="AU49" s="8" t="s">
        <v>63</v>
      </c>
      <c r="AV49" s="8"/>
      <c r="AX49" s="8" t="s">
        <v>63</v>
      </c>
      <c r="AY49" s="8"/>
    </row>
    <row r="50" spans="2:51" ht="14.4" customHeight="1" x14ac:dyDescent="0.3">
      <c r="B50" s="1" t="s">
        <v>1</v>
      </c>
      <c r="C50" s="1" t="s">
        <v>0</v>
      </c>
      <c r="E50" s="1" t="s">
        <v>1</v>
      </c>
      <c r="F50" s="1" t="s">
        <v>0</v>
      </c>
      <c r="H50" s="1" t="s">
        <v>1</v>
      </c>
      <c r="I50" s="1" t="s">
        <v>0</v>
      </c>
      <c r="K50" s="1" t="s">
        <v>1</v>
      </c>
      <c r="L50" s="1" t="s">
        <v>0</v>
      </c>
      <c r="N50" s="1" t="s">
        <v>1</v>
      </c>
      <c r="O50" s="1" t="s">
        <v>0</v>
      </c>
      <c r="T50" s="1" t="s">
        <v>1</v>
      </c>
      <c r="U50" s="1" t="s">
        <v>0</v>
      </c>
      <c r="W50" s="1" t="s">
        <v>1</v>
      </c>
      <c r="X50" s="1" t="s">
        <v>0</v>
      </c>
      <c r="Z50" s="1" t="s">
        <v>1</v>
      </c>
      <c r="AA50" s="1" t="s">
        <v>0</v>
      </c>
      <c r="AC50" s="1" t="s">
        <v>1</v>
      </c>
      <c r="AD50" s="1" t="s">
        <v>0</v>
      </c>
      <c r="AF50" s="1" t="s">
        <v>1</v>
      </c>
      <c r="AG50" s="1" t="s">
        <v>0</v>
      </c>
      <c r="AL50" s="1" t="s">
        <v>1</v>
      </c>
      <c r="AM50" s="1" t="s">
        <v>0</v>
      </c>
      <c r="AO50" s="1" t="s">
        <v>1</v>
      </c>
      <c r="AP50" s="1" t="s">
        <v>0</v>
      </c>
      <c r="AR50" s="1" t="s">
        <v>1</v>
      </c>
      <c r="AS50" s="1" t="s">
        <v>0</v>
      </c>
      <c r="AU50" s="1" t="s">
        <v>1</v>
      </c>
      <c r="AV50" s="1" t="s">
        <v>0</v>
      </c>
      <c r="AX50" s="1" t="s">
        <v>1</v>
      </c>
      <c r="AY50" s="1" t="s">
        <v>0</v>
      </c>
    </row>
    <row r="51" spans="2:51" x14ac:dyDescent="0.3">
      <c r="B51" s="4">
        <f>1628869648.06164-1628869648.06002</f>
        <v>1.6200542449951172E-3</v>
      </c>
      <c r="C51" s="3">
        <f>B51*1000</f>
        <v>1.6200542449951172</v>
      </c>
      <c r="E51" s="4">
        <f>1628869648.06164-1628869648.06002</f>
        <v>1.6200542449951172E-3</v>
      </c>
      <c r="F51" s="3">
        <f>E51*1000</f>
        <v>1.6200542449951172</v>
      </c>
      <c r="H51" s="4">
        <f>1628869648.06213-1628869648.06002</f>
        <v>2.1100044250488281E-3</v>
      </c>
      <c r="I51" s="3">
        <f>H51*1000</f>
        <v>2.1100044250488281</v>
      </c>
      <c r="K51" s="4">
        <f>1628869648.06265-1628869648.06002</f>
        <v>2.6299953460693359E-3</v>
      </c>
      <c r="L51" s="3">
        <f>K51*1000</f>
        <v>2.6299953460693359</v>
      </c>
      <c r="N51" s="4">
        <f>1628869648.06183-1628869648.06002</f>
        <v>1.8100738525390625E-3</v>
      </c>
      <c r="O51" s="3">
        <f>N51*1000</f>
        <v>1.8100738525390625</v>
      </c>
      <c r="T51" s="4">
        <f>1628873560.39133-1628873560.32879</f>
        <v>6.2540054321289063E-2</v>
      </c>
      <c r="U51" s="3">
        <f>T51*1000</f>
        <v>62.540054321289063</v>
      </c>
      <c r="W51" s="4">
        <f>1628873560.39991-1628873560.32879</f>
        <v>7.1120023727416992E-2</v>
      </c>
      <c r="X51" s="3">
        <f>W51*1000</f>
        <v>71.120023727416992</v>
      </c>
      <c r="Z51" s="4">
        <f>1628873560.39546-1628873560.32879</f>
        <v>6.6669940948486328E-2</v>
      </c>
      <c r="AA51" s="3">
        <f>Z51*1000</f>
        <v>66.669940948486328</v>
      </c>
      <c r="AC51" s="4">
        <f>1628873560.40413-1628873560.32879</f>
        <v>7.5340032577514648E-2</v>
      </c>
      <c r="AD51" s="3">
        <f>AC51*1000</f>
        <v>75.340032577514648</v>
      </c>
      <c r="AF51" s="4">
        <f>1628873560.40803-1628873560.32879</f>
        <v>7.9240083694458008E-2</v>
      </c>
      <c r="AG51" s="3">
        <f>AF51*1000</f>
        <v>79.240083694458008</v>
      </c>
      <c r="AL51" s="4">
        <f>1628875097.27493-1628875097.20454</f>
        <v>7.0389986038208008E-2</v>
      </c>
      <c r="AM51" s="3">
        <f>AL51*1000</f>
        <v>70.389986038208008</v>
      </c>
      <c r="AO51" s="4">
        <f>1628875097.27921-1628875097.20454</f>
        <v>7.4670076370239258E-2</v>
      </c>
      <c r="AP51" s="3">
        <f>AO51*1000</f>
        <v>74.670076370239258</v>
      </c>
      <c r="AR51" s="4">
        <f>1628875097.28319-1628875097.20454</f>
        <v>7.8649997711181641E-2</v>
      </c>
      <c r="AS51" s="3">
        <f>AR51*1000</f>
        <v>78.649997711181641</v>
      </c>
      <c r="AU51" s="4">
        <f>1628875097.28608-1628875097.20454</f>
        <v>8.153986930847168E-2</v>
      </c>
      <c r="AV51" s="3">
        <f>AU51*1000</f>
        <v>81.53986930847168</v>
      </c>
      <c r="AX51" s="4">
        <f>1628875097.2905-1628875097.20454</f>
        <v>8.5959911346435547E-2</v>
      </c>
      <c r="AY51" s="3">
        <f>AX51*1000</f>
        <v>85.959911346435547</v>
      </c>
    </row>
    <row r="52" spans="2:51" x14ac:dyDescent="0.3">
      <c r="B52" s="4">
        <f>1628869649.06906-1628869649.06764</f>
        <v>1.4200210571289063E-3</v>
      </c>
      <c r="C52" s="3">
        <f t="shared" ref="C52:C60" si="18">B52*1000</f>
        <v>1.4200210571289063</v>
      </c>
      <c r="E52" s="4">
        <f>1628869649.06904-1628869649.06764</f>
        <v>1.399993896484375E-3</v>
      </c>
      <c r="F52" s="3">
        <f t="shared" ref="F52:F60" si="19">E52*1000</f>
        <v>1.399993896484375</v>
      </c>
      <c r="H52" s="4">
        <f>1628869649.07015-1628869649.06764</f>
        <v>2.5098323822021484E-3</v>
      </c>
      <c r="I52" s="3">
        <f t="shared" ref="I52:I60" si="20">H52*1000</f>
        <v>2.5098323822021484</v>
      </c>
      <c r="K52" s="4">
        <f>1628869649.06964-1628869649.06764</f>
        <v>1.9998550415039063E-3</v>
      </c>
      <c r="L52" s="3">
        <f t="shared" ref="L52:L60" si="21">K52*1000</f>
        <v>1.9998550415039063</v>
      </c>
      <c r="N52" s="4">
        <f>1628869649.06921-1628869649.06764</f>
        <v>1.5699863433837891E-3</v>
      </c>
      <c r="O52" s="3">
        <f t="shared" ref="O52:O60" si="22">N52*1000</f>
        <v>1.5699863433837891</v>
      </c>
      <c r="T52" s="4">
        <f>1628873561.65918-1628873561.59871</f>
        <v>6.0469865798950195E-2</v>
      </c>
      <c r="U52" s="3">
        <f t="shared" ref="U52:U60" si="23">T52*1000</f>
        <v>60.469865798950195</v>
      </c>
      <c r="W52" s="4">
        <f>1628873561.66758-1628873561.59871</f>
        <v>6.8869829177856445E-2</v>
      </c>
      <c r="X52" s="3">
        <f t="shared" ref="X52:X60" si="24">W52*1000</f>
        <v>68.869829177856445</v>
      </c>
      <c r="Z52" s="4">
        <f>1628873561.66338-1628873561.59871</f>
        <v>6.466984748840332E-2</v>
      </c>
      <c r="AA52" s="3">
        <f t="shared" ref="AA52:AA60" si="25">Z52*1000</f>
        <v>64.66984748840332</v>
      </c>
      <c r="AC52" s="4">
        <f>1628873561.67209-1628873561.59871</f>
        <v>7.3379993438720703E-2</v>
      </c>
      <c r="AD52" s="3">
        <f t="shared" ref="AD52:AD60" si="26">AC52*1000</f>
        <v>73.379993438720703</v>
      </c>
      <c r="AF52" s="4">
        <f>1628873561.67537-1628873561.59871</f>
        <v>7.6659917831420898E-2</v>
      </c>
      <c r="AG52" s="3">
        <f t="shared" ref="AG52:AG60" si="27">AF52*1000</f>
        <v>76.659917831420898</v>
      </c>
      <c r="AL52" s="4">
        <f>1628875098.53932-1628875098.46874</f>
        <v>7.0580005645751953E-2</v>
      </c>
      <c r="AM52" s="3">
        <f t="shared" ref="AM52:AM60" si="28">AL52*1000</f>
        <v>70.580005645751953</v>
      </c>
      <c r="AO52" s="4">
        <f>1628875098.54272-1628875098.46874</f>
        <v>7.3980093002319336E-2</v>
      </c>
      <c r="AP52" s="3">
        <f t="shared" ref="AP52:AP60" si="29">AO52*1000</f>
        <v>73.980093002319336</v>
      </c>
      <c r="AR52" s="4">
        <f>1628875098.54682-1628875098.46874</f>
        <v>7.8079938888549805E-2</v>
      </c>
      <c r="AS52" s="3">
        <f t="shared" ref="AS52:AS60" si="30">AR52*1000</f>
        <v>78.079938888549805</v>
      </c>
      <c r="AU52" s="4">
        <f>1628875098.55072-1628875098.46874</f>
        <v>8.1979990005493164E-2</v>
      </c>
      <c r="AV52" s="3">
        <f t="shared" ref="AV52:AV60" si="31">AU52*1000</f>
        <v>81.979990005493164</v>
      </c>
      <c r="AX52" s="4">
        <f>1628875098.55479-1628875098.46874</f>
        <v>8.6050033569335938E-2</v>
      </c>
      <c r="AY52" s="3">
        <f t="shared" ref="AY52:AY60" si="32">AX52*1000</f>
        <v>86.050033569335938</v>
      </c>
    </row>
    <row r="53" spans="2:51" x14ac:dyDescent="0.3">
      <c r="B53" s="4">
        <f>1628869650.07645-1628869650.07508</f>
        <v>1.3701915740966797E-3</v>
      </c>
      <c r="C53" s="3">
        <f t="shared" si="18"/>
        <v>1.3701915740966797</v>
      </c>
      <c r="E53" s="4">
        <f>1628869650.07649-1628869650.07508</f>
        <v>1.4100074768066406E-3</v>
      </c>
      <c r="F53" s="3">
        <f t="shared" si="19"/>
        <v>1.4100074768066406</v>
      </c>
      <c r="H53" s="4">
        <f>1628869650.07712-1628869650.07508</f>
        <v>2.0401477813720703E-3</v>
      </c>
      <c r="I53" s="3">
        <f t="shared" si="20"/>
        <v>2.0401477813720703</v>
      </c>
      <c r="K53" s="4">
        <f>1628869650.07761-1628869650.07508</f>
        <v>2.5300979614257813E-3</v>
      </c>
      <c r="L53" s="3">
        <f t="shared" si="21"/>
        <v>2.5300979614257813</v>
      </c>
      <c r="N53" s="4">
        <f>1628869650.07668-1628869650.07508</f>
        <v>1.6000270843505859E-3</v>
      </c>
      <c r="O53" s="3">
        <f t="shared" si="22"/>
        <v>1.6000270843505859</v>
      </c>
      <c r="T53" s="4">
        <f>1628873562.93086-1628873562.87167</f>
        <v>5.9190034866333008E-2</v>
      </c>
      <c r="U53" s="3">
        <f t="shared" si="23"/>
        <v>59.190034866333008</v>
      </c>
      <c r="W53" s="4">
        <f>1628873562.93804-1628873562.87167</f>
        <v>6.6370010375976563E-2</v>
      </c>
      <c r="X53" s="3">
        <f t="shared" si="24"/>
        <v>66.370010375976563</v>
      </c>
      <c r="Z53" s="4">
        <f>1628873562.93439-1628873562.87167</f>
        <v>6.2720060348510742E-2</v>
      </c>
      <c r="AA53" s="3">
        <f t="shared" si="25"/>
        <v>62.720060348510742</v>
      </c>
      <c r="AC53" s="4">
        <f>1628873562.94011-1628873562.87167</f>
        <v>6.8439960479736328E-2</v>
      </c>
      <c r="AD53" s="3">
        <f t="shared" si="26"/>
        <v>68.439960479736328</v>
      </c>
      <c r="AF53" s="4">
        <f>1628873562.94197-1628873562.87167</f>
        <v>7.0300102233886719E-2</v>
      </c>
      <c r="AG53" s="3">
        <f t="shared" si="27"/>
        <v>70.300102233886719</v>
      </c>
      <c r="AL53" s="4">
        <f>1628875099.80691-1628875099.73556</f>
        <v>7.135009765625E-2</v>
      </c>
      <c r="AM53" s="3">
        <f t="shared" si="28"/>
        <v>71.35009765625</v>
      </c>
      <c r="AO53" s="4">
        <f>1628875099.81177-1628875099.73556</f>
        <v>7.621002197265625E-2</v>
      </c>
      <c r="AP53" s="3">
        <f t="shared" si="29"/>
        <v>76.21002197265625</v>
      </c>
      <c r="AR53" s="4">
        <f>1628875099.81626-1628875099.73556</f>
        <v>8.0700159072875977E-2</v>
      </c>
      <c r="AS53" s="3">
        <f t="shared" si="30"/>
        <v>80.700159072875977</v>
      </c>
      <c r="AU53" s="4">
        <f>1628875099.82029-1628875099.73556</f>
        <v>8.4730148315429688E-2</v>
      </c>
      <c r="AV53" s="3">
        <f t="shared" si="31"/>
        <v>84.730148315429688</v>
      </c>
      <c r="AX53" s="4">
        <f>1628875099.82434-1628875099.73556</f>
        <v>8.878016471862793E-2</v>
      </c>
      <c r="AY53" s="3">
        <f t="shared" si="32"/>
        <v>88.78016471862793</v>
      </c>
    </row>
    <row r="54" spans="2:51" x14ac:dyDescent="0.3">
      <c r="B54" s="4">
        <f>1628869651.08382-1628869651.0824</f>
        <v>1.4200210571289063E-3</v>
      </c>
      <c r="C54" s="3">
        <f t="shared" si="18"/>
        <v>1.4200210571289063</v>
      </c>
      <c r="E54" s="4">
        <f>1628869651.08375-1628869651.0824</f>
        <v>1.3499259948730469E-3</v>
      </c>
      <c r="F54" s="3">
        <f t="shared" si="19"/>
        <v>1.3499259948730469</v>
      </c>
      <c r="H54" s="4">
        <f>1628869651.08454-1628869651.0824</f>
        <v>2.1398067474365234E-3</v>
      </c>
      <c r="I54" s="3">
        <f t="shared" si="20"/>
        <v>2.1398067474365234</v>
      </c>
      <c r="K54" s="4">
        <f>1628869651.08414-1628869651.0824</f>
        <v>1.7399787902832031E-3</v>
      </c>
      <c r="L54" s="3">
        <f t="shared" si="21"/>
        <v>1.7399787902832031</v>
      </c>
      <c r="N54" s="4">
        <f>1628869651.08389-1628869651.0824</f>
        <v>1.4898777008056641E-3</v>
      </c>
      <c r="O54" s="3">
        <f t="shared" si="22"/>
        <v>1.4898777008056641</v>
      </c>
      <c r="T54" s="4">
        <f>1628873564.13934-1628873564.07584</f>
        <v>6.3499927520751953E-2</v>
      </c>
      <c r="U54" s="3">
        <f t="shared" si="23"/>
        <v>63.499927520751953</v>
      </c>
      <c r="W54" s="4">
        <f>1628873564.14862-1628873564.07584</f>
        <v>7.277989387512207E-2</v>
      </c>
      <c r="X54" s="3">
        <f t="shared" si="24"/>
        <v>72.77989387512207</v>
      </c>
      <c r="Z54" s="4">
        <f>1628873564.14374-1628873564.07584</f>
        <v>6.7899942398071289E-2</v>
      </c>
      <c r="AA54" s="3">
        <f t="shared" si="25"/>
        <v>67.899942398071289</v>
      </c>
      <c r="AC54" s="4">
        <f>1628873564.15303-1628873564.07584</f>
        <v>7.7189922332763672E-2</v>
      </c>
      <c r="AD54" s="3">
        <f t="shared" si="26"/>
        <v>77.189922332763672</v>
      </c>
      <c r="AF54" s="4">
        <f>1628873564.15732-1628873564.07584</f>
        <v>8.1480026245117188E-2</v>
      </c>
      <c r="AG54" s="3">
        <f t="shared" si="27"/>
        <v>81.480026245117188</v>
      </c>
      <c r="AL54" s="4">
        <f>1628875101.07479-1628875101.00213</f>
        <v>7.2659969329833984E-2</v>
      </c>
      <c r="AM54" s="3">
        <f t="shared" si="28"/>
        <v>72.659969329833984</v>
      </c>
      <c r="AO54" s="4">
        <f>1628875101.07903-1628875101.00213</f>
        <v>7.6900005340576172E-2</v>
      </c>
      <c r="AP54" s="3">
        <f t="shared" si="29"/>
        <v>76.900005340576172</v>
      </c>
      <c r="AR54" s="4">
        <f>1628875101.08194-1628875101.00213</f>
        <v>7.9809904098510742E-2</v>
      </c>
      <c r="AS54" s="3">
        <f t="shared" si="30"/>
        <v>79.809904098510742</v>
      </c>
      <c r="AU54" s="4">
        <f>1628875101.08465-1628875101.00213</f>
        <v>8.2520008087158203E-2</v>
      </c>
      <c r="AV54" s="3">
        <f t="shared" si="31"/>
        <v>82.520008087158203</v>
      </c>
      <c r="AX54" s="4">
        <f>1628875101.08747-1628875101.00213</f>
        <v>8.5340023040771484E-2</v>
      </c>
      <c r="AY54" s="3">
        <f t="shared" si="32"/>
        <v>85.340023040771484</v>
      </c>
    </row>
    <row r="55" spans="2:51" x14ac:dyDescent="0.3">
      <c r="B55" s="4">
        <f>1628869652.09092-1628869652.08963</f>
        <v>1.2900829315185547E-3</v>
      </c>
      <c r="C55" s="3">
        <f t="shared" si="18"/>
        <v>1.2900829315185547</v>
      </c>
      <c r="E55" s="4">
        <f>1628869652.09086-1628869652.08963</f>
        <v>1.2300014495849609E-3</v>
      </c>
      <c r="F55" s="3">
        <f t="shared" si="19"/>
        <v>1.2300014495849609</v>
      </c>
      <c r="H55" s="4">
        <f>1628869652.09187-1628869652.08963</f>
        <v>2.2401809692382813E-3</v>
      </c>
      <c r="I55" s="3">
        <f t="shared" si="20"/>
        <v>2.2401809692382813</v>
      </c>
      <c r="K55" s="4">
        <f>1628869652.09137-1628869652.08963</f>
        <v>1.7402172088623047E-3</v>
      </c>
      <c r="L55" s="3">
        <f t="shared" si="21"/>
        <v>1.7402172088623047</v>
      </c>
      <c r="N55" s="4">
        <f>1628869652.09097-1628869652.08963</f>
        <v>1.3401508331298828E-3</v>
      </c>
      <c r="O55" s="3">
        <f t="shared" si="22"/>
        <v>1.3401508331298828</v>
      </c>
      <c r="T55" s="4">
        <f>1628873565.41496-1628873565.35344</f>
        <v>6.1519861221313477E-2</v>
      </c>
      <c r="U55" s="3">
        <f t="shared" si="23"/>
        <v>61.519861221313477</v>
      </c>
      <c r="W55" s="4">
        <f>1628873565.42379-1628873565.35344</f>
        <v>7.0349931716918945E-2</v>
      </c>
      <c r="X55" s="3">
        <f t="shared" si="24"/>
        <v>70.349931716918945</v>
      </c>
      <c r="Z55" s="4">
        <f>1628873565.41937-1628873565.35344</f>
        <v>6.5929889678955078E-2</v>
      </c>
      <c r="AA55" s="3">
        <f t="shared" si="25"/>
        <v>65.929889678955078</v>
      </c>
      <c r="AC55" s="4">
        <f>1628873565.42808-1628873565.35344</f>
        <v>7.4640035629272461E-2</v>
      </c>
      <c r="AD55" s="3">
        <f t="shared" si="26"/>
        <v>74.640035629272461</v>
      </c>
      <c r="AF55" s="4">
        <f>1628873565.43281-1628873565.35344</f>
        <v>7.9370021820068359E-2</v>
      </c>
      <c r="AG55" s="3">
        <f t="shared" si="27"/>
        <v>79.370021820068359</v>
      </c>
      <c r="AL55" s="4">
        <f>1628875102.33961-1628875102.26671</f>
        <v>7.2900056838989258E-2</v>
      </c>
      <c r="AM55" s="3">
        <f t="shared" si="28"/>
        <v>72.900056838989258</v>
      </c>
      <c r="AO55" s="4">
        <f>1628875102.34425-1628875102.26671</f>
        <v>7.7539920806884766E-2</v>
      </c>
      <c r="AP55" s="3">
        <f t="shared" si="29"/>
        <v>77.539920806884766</v>
      </c>
      <c r="AR55" s="4">
        <f>1628875102.34909-1628875102.26671</f>
        <v>8.2380056381225586E-2</v>
      </c>
      <c r="AS55" s="3">
        <f t="shared" si="30"/>
        <v>82.380056381225586</v>
      </c>
      <c r="AU55" s="4">
        <f>1628875102.35297-1628875102.26671</f>
        <v>8.6259841918945313E-2</v>
      </c>
      <c r="AV55" s="3">
        <f t="shared" si="31"/>
        <v>86.259841918945313</v>
      </c>
      <c r="AX55" s="4">
        <f>1628875102.35707-1628875102.26671</f>
        <v>9.0359926223754883E-2</v>
      </c>
      <c r="AY55" s="3">
        <f t="shared" si="32"/>
        <v>90.359926223754883</v>
      </c>
    </row>
    <row r="56" spans="2:51" x14ac:dyDescent="0.3">
      <c r="B56" s="4">
        <f>1628869653.09747-1628869653.09703</f>
        <v>4.4012069702148438E-4</v>
      </c>
      <c r="C56" s="3">
        <f t="shared" si="18"/>
        <v>0.44012069702148438</v>
      </c>
      <c r="E56" s="4">
        <f>1628869653.0974-1628869653.09703</f>
        <v>3.70025634765625E-4</v>
      </c>
      <c r="F56" s="3">
        <f t="shared" si="19"/>
        <v>0.370025634765625</v>
      </c>
      <c r="H56" s="4">
        <f>1628869653.09746-1628869653.09703</f>
        <v>4.3010711669921875E-4</v>
      </c>
      <c r="I56" s="3">
        <f t="shared" si="20"/>
        <v>0.43010711669921875</v>
      </c>
      <c r="K56" s="4">
        <f>1628869653.09839-1628869653.09703</f>
        <v>1.3601779937744141E-3</v>
      </c>
      <c r="L56" s="3">
        <f t="shared" si="21"/>
        <v>1.3601779937744141</v>
      </c>
      <c r="N56" s="4">
        <f>1628869653.09752-1628869653.09703</f>
        <v>4.901885986328125E-4</v>
      </c>
      <c r="O56" s="3">
        <f t="shared" si="22"/>
        <v>0.4901885986328125</v>
      </c>
      <c r="T56" s="4">
        <f>1628873566.68684-1628873566.62751</f>
        <v>5.9329986572265625E-2</v>
      </c>
      <c r="U56" s="3">
        <f t="shared" si="23"/>
        <v>59.329986572265625</v>
      </c>
      <c r="W56" s="4">
        <f>1628873566.69573-1628873566.62751</f>
        <v>6.8219900131225586E-2</v>
      </c>
      <c r="X56" s="3">
        <f t="shared" si="24"/>
        <v>68.219900131225586</v>
      </c>
      <c r="Z56" s="4">
        <f>1628873566.69139-1628873566.62751</f>
        <v>6.3879966735839844E-2</v>
      </c>
      <c r="AA56" s="3">
        <f t="shared" si="25"/>
        <v>63.879966735839844</v>
      </c>
      <c r="AC56" s="4">
        <f>1628873566.69965-1628873566.62751</f>
        <v>7.2139978408813477E-2</v>
      </c>
      <c r="AD56" s="3">
        <f t="shared" si="26"/>
        <v>72.139978408813477</v>
      </c>
      <c r="AF56" s="4">
        <f>1628873566.70343-1628873566.62751</f>
        <v>7.5919866561889648E-2</v>
      </c>
      <c r="AG56" s="3">
        <f t="shared" si="27"/>
        <v>75.919866561889648</v>
      </c>
      <c r="AL56" s="4">
        <f>1628875103.6071-1628875103.5344</f>
        <v>7.2700023651123047E-2</v>
      </c>
      <c r="AM56" s="3">
        <f t="shared" si="28"/>
        <v>72.700023651123047</v>
      </c>
      <c r="AO56" s="4">
        <f>1628875103.61138-1628875103.5344</f>
        <v>7.6980113983154297E-2</v>
      </c>
      <c r="AP56" s="3">
        <f t="shared" si="29"/>
        <v>76.980113983154297</v>
      </c>
      <c r="AR56" s="4">
        <f>1628875103.6159-1628875103.5344</f>
        <v>8.1500053405761719E-2</v>
      </c>
      <c r="AS56" s="3">
        <f t="shared" si="30"/>
        <v>81.500053405761719</v>
      </c>
      <c r="AU56" s="4">
        <f>1628875103.62005-1628875103.5344</f>
        <v>8.5649967193603516E-2</v>
      </c>
      <c r="AV56" s="3">
        <f t="shared" si="31"/>
        <v>85.649967193603516</v>
      </c>
      <c r="AX56" s="4">
        <f>1628875103.62417-1628875103.5344</f>
        <v>8.9770078659057617E-2</v>
      </c>
      <c r="AY56" s="3">
        <f t="shared" si="32"/>
        <v>89.770078659057617</v>
      </c>
    </row>
    <row r="57" spans="2:51" x14ac:dyDescent="0.3">
      <c r="B57" s="4">
        <f>1628869654.10467-1628869654.10327</f>
        <v>1.399993896484375E-3</v>
      </c>
      <c r="C57" s="3">
        <f t="shared" si="18"/>
        <v>1.399993896484375</v>
      </c>
      <c r="E57" s="4">
        <f>1628869654.10478-1628869654.10327</f>
        <v>1.5099048614501953E-3</v>
      </c>
      <c r="F57" s="3">
        <f t="shared" si="19"/>
        <v>1.5099048614501953</v>
      </c>
      <c r="H57" s="4">
        <f>1628869654.10471-1628869654.10327</f>
        <v>1.4400482177734375E-3</v>
      </c>
      <c r="I57" s="3">
        <f t="shared" si="20"/>
        <v>1.4400482177734375</v>
      </c>
      <c r="K57" s="4">
        <f>1628869654.10541-1628869654.10327</f>
        <v>2.140045166015625E-3</v>
      </c>
      <c r="L57" s="3">
        <f t="shared" si="21"/>
        <v>2.140045166015625</v>
      </c>
      <c r="N57" s="4">
        <f>1628869654.1047-1628869654.10327</f>
        <v>1.4300346374511719E-3</v>
      </c>
      <c r="O57" s="3">
        <f t="shared" si="22"/>
        <v>1.4300346374511719</v>
      </c>
      <c r="T57" s="4">
        <f>1628873567.95128-1628873567.88822</f>
        <v>6.306004524230957E-2</v>
      </c>
      <c r="U57" s="3">
        <f t="shared" si="23"/>
        <v>63.06004524230957</v>
      </c>
      <c r="W57" s="4">
        <f>1628873567.95919-1628873567.88822</f>
        <v>7.0969820022583008E-2</v>
      </c>
      <c r="X57" s="3">
        <f t="shared" si="24"/>
        <v>70.969820022583008</v>
      </c>
      <c r="Z57" s="4">
        <f>1628873567.95503-1628873567.88822</f>
        <v>6.6809892654418945E-2</v>
      </c>
      <c r="AA57" s="3">
        <f t="shared" si="25"/>
        <v>66.809892654418945</v>
      </c>
      <c r="AC57" s="4">
        <f>1628873567.9629-1628873567.88822</f>
        <v>7.4679851531982422E-2</v>
      </c>
      <c r="AD57" s="3">
        <f t="shared" si="26"/>
        <v>74.679851531982422</v>
      </c>
      <c r="AF57" s="4">
        <f>1628873567.9664-1628873567.88822</f>
        <v>7.8179836273193359E-2</v>
      </c>
      <c r="AG57" s="3">
        <f t="shared" si="27"/>
        <v>78.179836273193359</v>
      </c>
      <c r="AL57" s="4">
        <f>1628875104.88323-1628875104.81043</f>
        <v>7.2799921035766602E-2</v>
      </c>
      <c r="AM57" s="3">
        <f t="shared" si="28"/>
        <v>72.799921035766602</v>
      </c>
      <c r="AO57" s="4">
        <f>1628875104.88736-1628875104.81043</f>
        <v>7.6930046081542969E-2</v>
      </c>
      <c r="AP57" s="3">
        <f t="shared" si="29"/>
        <v>76.930046081542969</v>
      </c>
      <c r="AR57" s="4">
        <f>1628875104.89172-1628875104.81043</f>
        <v>8.1290006637573242E-2</v>
      </c>
      <c r="AS57" s="3">
        <f t="shared" si="30"/>
        <v>81.290006637573242</v>
      </c>
      <c r="AU57" s="4">
        <f>1628875104.89571-1628875104.81043</f>
        <v>8.5279941558837891E-2</v>
      </c>
      <c r="AV57" s="3">
        <f t="shared" si="31"/>
        <v>85.279941558837891</v>
      </c>
      <c r="AX57" s="4">
        <f>1628875104.89998-1628875104.81043</f>
        <v>8.9550018310546875E-2</v>
      </c>
      <c r="AY57" s="3">
        <f t="shared" si="32"/>
        <v>89.550018310546875</v>
      </c>
    </row>
    <row r="58" spans="2:51" x14ac:dyDescent="0.3">
      <c r="B58" s="4">
        <f>1628869655.11195-1628869655.11052</f>
        <v>1.4300346374511719E-3</v>
      </c>
      <c r="C58" s="3">
        <f t="shared" si="18"/>
        <v>1.4300346374511719</v>
      </c>
      <c r="E58" s="4">
        <f>1628869655.11187-1628869655.11052</f>
        <v>1.3501644134521484E-3</v>
      </c>
      <c r="F58" s="3">
        <f t="shared" si="19"/>
        <v>1.3501644134521484</v>
      </c>
      <c r="H58" s="4">
        <f>1628869655.11208-1628869655.11052</f>
        <v>1.560211181640625E-3</v>
      </c>
      <c r="I58" s="3">
        <f t="shared" si="20"/>
        <v>1.560211181640625</v>
      </c>
      <c r="K58" s="4">
        <f>1628869655.11267-1628869655.11052</f>
        <v>2.1500587463378906E-3</v>
      </c>
      <c r="L58" s="3">
        <f t="shared" si="21"/>
        <v>2.1500587463378906</v>
      </c>
      <c r="N58" s="4">
        <f>1628869655.11201-1628869655.11052</f>
        <v>1.4901161193847656E-3</v>
      </c>
      <c r="O58" s="3">
        <f t="shared" si="22"/>
        <v>1.4901161193847656</v>
      </c>
      <c r="T58" s="4">
        <f>1628873569.21497-1628873569.15379</f>
        <v>6.118011474609375E-2</v>
      </c>
      <c r="U58" s="3">
        <f t="shared" si="23"/>
        <v>61.18011474609375</v>
      </c>
      <c r="W58" s="4">
        <f>1628873569.22455-1628873569.15379</f>
        <v>7.0760011672973633E-2</v>
      </c>
      <c r="X58" s="3">
        <f t="shared" si="24"/>
        <v>70.760011672973633</v>
      </c>
      <c r="Z58" s="4">
        <f>1628873569.22016-1628873569.15379</f>
        <v>6.6370010375976563E-2</v>
      </c>
      <c r="AA58" s="3">
        <f t="shared" si="25"/>
        <v>66.370010375976563</v>
      </c>
      <c r="AC58" s="4">
        <f>1628873569.22896-1628873569.15379</f>
        <v>7.5170040130615234E-2</v>
      </c>
      <c r="AD58" s="3">
        <f t="shared" si="26"/>
        <v>75.170040130615234</v>
      </c>
      <c r="AF58" s="4">
        <f>1628873569.2332-1628873569.15379</f>
        <v>7.9410076141357422E-2</v>
      </c>
      <c r="AG58" s="3">
        <f t="shared" si="27"/>
        <v>79.410076141357422</v>
      </c>
      <c r="AL58" s="4">
        <f>1628875106.14697-1628875106.07662</f>
        <v>7.0349931716918945E-2</v>
      </c>
      <c r="AM58" s="3">
        <f t="shared" si="28"/>
        <v>70.349931716918945</v>
      </c>
      <c r="AO58" s="4">
        <f>1628875106.15124-1628875106.07662</f>
        <v>7.462000846862793E-2</v>
      </c>
      <c r="AP58" s="3">
        <f t="shared" si="29"/>
        <v>74.62000846862793</v>
      </c>
      <c r="AR58" s="4">
        <f>1628875106.156-1628875106.07662</f>
        <v>7.9379796981811523E-2</v>
      </c>
      <c r="AS58" s="3">
        <f t="shared" si="30"/>
        <v>79.379796981811523</v>
      </c>
      <c r="AU58" s="4">
        <f>1628875106.16005-1628875106.07662</f>
        <v>8.3429813385009766E-2</v>
      </c>
      <c r="AV58" s="3">
        <f t="shared" si="31"/>
        <v>83.429813385009766</v>
      </c>
      <c r="AX58" s="4">
        <f>1628875106.1635-1628875106.07662</f>
        <v>8.6879968643188477E-2</v>
      </c>
      <c r="AY58" s="3">
        <f t="shared" si="32"/>
        <v>86.879968643188477</v>
      </c>
    </row>
    <row r="59" spans="2:51" x14ac:dyDescent="0.3">
      <c r="B59" s="4">
        <f>1628869656.11927-1628869656.11783</f>
        <v>1.4400482177734375E-3</v>
      </c>
      <c r="C59" s="3">
        <f t="shared" si="18"/>
        <v>1.4400482177734375</v>
      </c>
      <c r="E59" s="4">
        <f>1628869656.11936-1628869656.11783</f>
        <v>1.5299320220947266E-3</v>
      </c>
      <c r="F59" s="3">
        <f t="shared" si="19"/>
        <v>1.5299320220947266</v>
      </c>
      <c r="H59" s="4">
        <f>1628869656.11932-1628869656.11783</f>
        <v>1.4898777008056641E-3</v>
      </c>
      <c r="I59" s="3">
        <f t="shared" si="20"/>
        <v>1.4898777008056641</v>
      </c>
      <c r="K59" s="4">
        <f>1628869656.12011-1628869656.11783</f>
        <v>2.2799968719482422E-3</v>
      </c>
      <c r="L59" s="3">
        <f t="shared" si="21"/>
        <v>2.2799968719482422</v>
      </c>
      <c r="N59" s="4">
        <f>1628869656.11939-1628869656.11783</f>
        <v>1.5599727630615234E-3</v>
      </c>
      <c r="O59" s="3">
        <f t="shared" si="22"/>
        <v>1.5599727630615234</v>
      </c>
      <c r="T59" s="4">
        <f>1628873570.48301-1628873570.42245</f>
        <v>6.0559988021850586E-2</v>
      </c>
      <c r="U59" s="3">
        <f t="shared" si="23"/>
        <v>60.559988021850586</v>
      </c>
      <c r="W59" s="4">
        <f>1628873570.49186-1628873570.42245</f>
        <v>6.9409847259521484E-2</v>
      </c>
      <c r="X59" s="3">
        <f t="shared" si="24"/>
        <v>69.409847259521484</v>
      </c>
      <c r="Z59" s="4">
        <f>1628873570.48748-1628873570.42245</f>
        <v>6.502985954284668E-2</v>
      </c>
      <c r="AA59" s="3">
        <f t="shared" si="25"/>
        <v>65.02985954284668</v>
      </c>
      <c r="AC59" s="4">
        <f>1628873570.49665-1628873570.42245</f>
        <v>7.4199914932250977E-2</v>
      </c>
      <c r="AD59" s="3">
        <f t="shared" si="26"/>
        <v>74.199914932250977</v>
      </c>
      <c r="AF59" s="4">
        <f>1628873570.50107-1628873570.42245</f>
        <v>7.8619956970214844E-2</v>
      </c>
      <c r="AG59" s="3">
        <f t="shared" si="27"/>
        <v>78.619956970214844</v>
      </c>
      <c r="AL59" s="4">
        <f>1628875107.41531-1628875107.34241</f>
        <v>7.2899818420410156E-2</v>
      </c>
      <c r="AM59" s="3">
        <f t="shared" si="28"/>
        <v>72.899818420410156</v>
      </c>
      <c r="AO59" s="4">
        <f>1628875107.41983-1628875107.34241</f>
        <v>7.741999626159668E-2</v>
      </c>
      <c r="AP59" s="3">
        <f t="shared" si="29"/>
        <v>77.41999626159668</v>
      </c>
      <c r="AR59" s="4">
        <f>1628875107.42453-1628875107.34241</f>
        <v>8.2119941711425781E-2</v>
      </c>
      <c r="AS59" s="3">
        <f t="shared" si="30"/>
        <v>82.119941711425781</v>
      </c>
      <c r="AU59" s="4">
        <f>1628875107.42866-1628875107.34241</f>
        <v>8.6249828338623047E-2</v>
      </c>
      <c r="AV59" s="3">
        <f t="shared" si="31"/>
        <v>86.249828338623047</v>
      </c>
      <c r="AX59" s="4">
        <f>1628875107.43335-1628875107.34241</f>
        <v>9.0939998626708984E-2</v>
      </c>
      <c r="AY59" s="3">
        <f t="shared" si="32"/>
        <v>90.939998626708984</v>
      </c>
    </row>
    <row r="60" spans="2:51" x14ac:dyDescent="0.3">
      <c r="B60" s="4">
        <f>1628869657.12635-1628869657.12504</f>
        <v>1.3098716735839844E-3</v>
      </c>
      <c r="C60" s="3">
        <f t="shared" si="18"/>
        <v>1.3098716735839844</v>
      </c>
      <c r="E60" s="4">
        <f>1628869657.12629-1628869657.12504</f>
        <v>1.2500286102294922E-3</v>
      </c>
      <c r="F60" s="3">
        <f t="shared" si="19"/>
        <v>1.2500286102294922</v>
      </c>
      <c r="H60" s="4">
        <f>1628869657.12933-1628869657.12504</f>
        <v>4.2898654937744141E-3</v>
      </c>
      <c r="I60" s="3">
        <f t="shared" si="20"/>
        <v>4.2898654937744141</v>
      </c>
      <c r="K60" s="4">
        <f>1628869657.12635-1628869657.12504</f>
        <v>1.3098716735839844E-3</v>
      </c>
      <c r="L60" s="3">
        <f t="shared" si="21"/>
        <v>1.3098716735839844</v>
      </c>
      <c r="N60" s="4">
        <f>1628869657.12641-1628869657.12504</f>
        <v>1.3699531555175781E-3</v>
      </c>
      <c r="O60" s="3">
        <f t="shared" si="22"/>
        <v>1.3699531555175781</v>
      </c>
      <c r="T60" s="4">
        <f>1628873571.75475-1628873571.69399</f>
        <v>6.0760021209716797E-2</v>
      </c>
      <c r="U60" s="3">
        <f t="shared" si="23"/>
        <v>60.760021209716797</v>
      </c>
      <c r="W60" s="4">
        <f>1628873571.763-1628873571.69399</f>
        <v>6.9010019302368164E-2</v>
      </c>
      <c r="X60" s="3">
        <f t="shared" si="24"/>
        <v>69.010019302368164</v>
      </c>
      <c r="Z60" s="4">
        <f>1628873571.75895-1628873571.69399</f>
        <v>6.4960002899169922E-2</v>
      </c>
      <c r="AA60" s="3">
        <f t="shared" si="25"/>
        <v>64.960002899169922</v>
      </c>
      <c r="AC60" s="4">
        <f>1628873571.76721-1628873571.69399</f>
        <v>7.3220014572143555E-2</v>
      </c>
      <c r="AD60" s="3">
        <f t="shared" si="26"/>
        <v>73.220014572143555</v>
      </c>
      <c r="AF60" s="4">
        <f>1628873571.7716-1628873571.69399</f>
        <v>7.7610015869140625E-2</v>
      </c>
      <c r="AG60" s="3">
        <f t="shared" si="27"/>
        <v>77.610015869140625</v>
      </c>
      <c r="AL60" s="4">
        <f>1628875108.6792-1628875108.6092</f>
        <v>6.9999933242797852E-2</v>
      </c>
      <c r="AM60" s="3">
        <f t="shared" si="28"/>
        <v>69.999933242797852</v>
      </c>
      <c r="AO60" s="4">
        <f>1628875108.68375-1628875108.6092</f>
        <v>7.454991340637207E-2</v>
      </c>
      <c r="AP60" s="3">
        <f t="shared" si="29"/>
        <v>74.54991340637207</v>
      </c>
      <c r="AR60" s="4">
        <f>1628875108.68772-1628875108.6092</f>
        <v>7.8520059585571289E-2</v>
      </c>
      <c r="AS60" s="3">
        <f t="shared" si="30"/>
        <v>78.520059585571289</v>
      </c>
      <c r="AU60" s="4">
        <f>1628875108.69072-1628875108.6092</f>
        <v>8.152008056640625E-2</v>
      </c>
      <c r="AV60" s="3">
        <f t="shared" si="31"/>
        <v>81.52008056640625</v>
      </c>
      <c r="AX60" s="4">
        <f>1628875108.69482-1628875108.6092</f>
        <v>8.5619926452636719E-2</v>
      </c>
      <c r="AY60" s="3">
        <f t="shared" si="32"/>
        <v>85.619926452636719</v>
      </c>
    </row>
    <row r="61" spans="2:51" x14ac:dyDescent="0.3">
      <c r="C61" s="2">
        <f>AVERAGE(C51:C60)</f>
        <v>1.3140439987182617</v>
      </c>
      <c r="F61" s="2">
        <f>AVERAGE(F51:F60)</f>
        <v>1.3020038604736328</v>
      </c>
      <c r="I61" s="2">
        <f>AVERAGE(I51:I60)</f>
        <v>2.0250082015991211</v>
      </c>
      <c r="L61" s="2">
        <f>AVERAGE(L51:L60)</f>
        <v>1.9880294799804688</v>
      </c>
      <c r="O61" s="2">
        <f>AVERAGE(O51:O60)</f>
        <v>1.4150381088256836</v>
      </c>
      <c r="U61" s="2">
        <f>AVERAGE(U51:U60)</f>
        <v>61.210989952087402</v>
      </c>
      <c r="X61" s="2">
        <f>AVERAGE(X51:X60)</f>
        <v>69.785928726196289</v>
      </c>
      <c r="AA61" s="2">
        <f>AVERAGE(AA51:AA60)</f>
        <v>65.493941307067871</v>
      </c>
      <c r="AD61" s="2">
        <f>AVERAGE(AD51:AD60)</f>
        <v>73.839974403381348</v>
      </c>
      <c r="AG61" s="2">
        <f>AVERAGE(AG51:AG60)</f>
        <v>77.678990364074707</v>
      </c>
      <c r="AM61" s="2">
        <f>AVERAGE(AM51:AM60)</f>
        <v>71.66297435760498</v>
      </c>
      <c r="AP61" s="2">
        <f>AVERAGE(AP51:AP60)</f>
        <v>75.980019569396973</v>
      </c>
      <c r="AS61" s="2">
        <f>AVERAGE(AS51:AS60)</f>
        <v>80.24299144744873</v>
      </c>
      <c r="AV61" s="2">
        <f>AVERAGE(AV51:AV60)</f>
        <v>83.915948867797852</v>
      </c>
      <c r="AY61" s="2">
        <f>AVERAGE(AY51:AY60)</f>
        <v>87.925004959106445</v>
      </c>
    </row>
    <row r="63" spans="2:51" x14ac:dyDescent="0.3">
      <c r="B63" s="6" t="s">
        <v>18</v>
      </c>
      <c r="C63" s="6"/>
      <c r="E63" s="6" t="s">
        <v>19</v>
      </c>
      <c r="F63" s="6"/>
      <c r="H63" s="6" t="s">
        <v>20</v>
      </c>
      <c r="I63" s="6"/>
      <c r="K63" s="6" t="s">
        <v>21</v>
      </c>
      <c r="L63" s="6"/>
      <c r="N63" s="6" t="s">
        <v>17</v>
      </c>
      <c r="O63" s="6"/>
      <c r="T63" s="6" t="s">
        <v>18</v>
      </c>
      <c r="U63" s="6"/>
      <c r="W63" s="6" t="s">
        <v>19</v>
      </c>
      <c r="X63" s="6"/>
      <c r="Z63" s="6" t="s">
        <v>20</v>
      </c>
      <c r="AA63" s="6"/>
      <c r="AC63" s="6" t="s">
        <v>21</v>
      </c>
      <c r="AD63" s="6"/>
      <c r="AF63" s="6" t="s">
        <v>17</v>
      </c>
      <c r="AG63" s="6"/>
      <c r="AL63" s="6" t="s">
        <v>18</v>
      </c>
      <c r="AM63" s="6"/>
      <c r="AO63" s="6" t="s">
        <v>19</v>
      </c>
      <c r="AP63" s="6"/>
      <c r="AR63" s="6" t="s">
        <v>20</v>
      </c>
      <c r="AS63" s="6"/>
      <c r="AU63" s="6" t="s">
        <v>21</v>
      </c>
      <c r="AV63" s="6"/>
      <c r="AX63" s="6" t="s">
        <v>17</v>
      </c>
      <c r="AY63" s="6"/>
    </row>
    <row r="64" spans="2:51" ht="27.6" customHeight="1" x14ac:dyDescent="0.3">
      <c r="B64" s="8" t="s">
        <v>2</v>
      </c>
      <c r="C64" s="8"/>
      <c r="E64" s="8" t="s">
        <v>2</v>
      </c>
      <c r="F64" s="8"/>
      <c r="H64" s="8" t="s">
        <v>2</v>
      </c>
      <c r="I64" s="8"/>
      <c r="K64" s="8" t="s">
        <v>2</v>
      </c>
      <c r="L64" s="8"/>
      <c r="N64" s="8" t="s">
        <v>2</v>
      </c>
      <c r="O64" s="8"/>
      <c r="T64" s="8" t="s">
        <v>62</v>
      </c>
      <c r="U64" s="8"/>
      <c r="W64" s="8" t="s">
        <v>62</v>
      </c>
      <c r="X64" s="8"/>
      <c r="Z64" s="8" t="s">
        <v>62</v>
      </c>
      <c r="AA64" s="8"/>
      <c r="AC64" s="8" t="s">
        <v>62</v>
      </c>
      <c r="AD64" s="8"/>
      <c r="AF64" s="8" t="s">
        <v>62</v>
      </c>
      <c r="AG64" s="8"/>
      <c r="AL64" s="8" t="s">
        <v>63</v>
      </c>
      <c r="AM64" s="8"/>
      <c r="AO64" s="8" t="s">
        <v>63</v>
      </c>
      <c r="AP64" s="8"/>
      <c r="AR64" s="8" t="s">
        <v>63</v>
      </c>
      <c r="AS64" s="8"/>
      <c r="AU64" s="8" t="s">
        <v>63</v>
      </c>
      <c r="AV64" s="8"/>
      <c r="AX64" s="8" t="s">
        <v>63</v>
      </c>
      <c r="AY64" s="8"/>
    </row>
    <row r="65" spans="2:51" x14ac:dyDescent="0.3">
      <c r="B65" s="1" t="s">
        <v>1</v>
      </c>
      <c r="C65" s="1" t="s">
        <v>0</v>
      </c>
      <c r="E65" s="1" t="s">
        <v>1</v>
      </c>
      <c r="F65" s="1" t="s">
        <v>0</v>
      </c>
      <c r="H65" s="1" t="s">
        <v>1</v>
      </c>
      <c r="I65" s="1" t="s">
        <v>0</v>
      </c>
      <c r="K65" s="1" t="s">
        <v>1</v>
      </c>
      <c r="L65" s="1" t="s">
        <v>0</v>
      </c>
      <c r="N65" s="1" t="s">
        <v>1</v>
      </c>
      <c r="O65" s="1" t="s">
        <v>0</v>
      </c>
      <c r="T65" s="1" t="s">
        <v>1</v>
      </c>
      <c r="U65" s="1" t="s">
        <v>0</v>
      </c>
      <c r="W65" s="1" t="s">
        <v>1</v>
      </c>
      <c r="X65" s="1" t="s">
        <v>0</v>
      </c>
      <c r="Z65" s="1" t="s">
        <v>1</v>
      </c>
      <c r="AA65" s="1" t="s">
        <v>0</v>
      </c>
      <c r="AC65" s="1" t="s">
        <v>1</v>
      </c>
      <c r="AD65" s="1" t="s">
        <v>0</v>
      </c>
      <c r="AF65" s="1" t="s">
        <v>1</v>
      </c>
      <c r="AG65" s="1" t="s">
        <v>0</v>
      </c>
      <c r="AL65" s="1" t="s">
        <v>1</v>
      </c>
      <c r="AM65" s="1" t="s">
        <v>0</v>
      </c>
      <c r="AO65" s="1" t="s">
        <v>1</v>
      </c>
      <c r="AP65" s="1" t="s">
        <v>0</v>
      </c>
      <c r="AR65" s="1" t="s">
        <v>1</v>
      </c>
      <c r="AS65" s="1" t="s">
        <v>0</v>
      </c>
      <c r="AU65" s="1" t="s">
        <v>1</v>
      </c>
      <c r="AV65" s="1" t="s">
        <v>0</v>
      </c>
      <c r="AX65" s="1" t="s">
        <v>1</v>
      </c>
      <c r="AY65" s="1" t="s">
        <v>0</v>
      </c>
    </row>
    <row r="66" spans="2:51" x14ac:dyDescent="0.3">
      <c r="B66" s="4">
        <f>1628869648.06584-1628869648.06002</f>
        <v>5.8200359344482422E-3</v>
      </c>
      <c r="C66" s="3">
        <f>B66*1000</f>
        <v>5.8200359344482422</v>
      </c>
      <c r="E66" s="4">
        <f>1628869648.06629-1628869648.06002</f>
        <v>6.2699317932128906E-3</v>
      </c>
      <c r="F66" s="3">
        <f>E66*1000</f>
        <v>6.2699317932128906</v>
      </c>
      <c r="H66" s="4">
        <f>1628869648.06698-1628869648.06002</f>
        <v>6.9599151611328125E-3</v>
      </c>
      <c r="I66" s="3">
        <f>H66*1000</f>
        <v>6.9599151611328125</v>
      </c>
      <c r="K66" s="4">
        <f>1628869648.066-1628869648.06002</f>
        <v>5.9800148010253906E-3</v>
      </c>
      <c r="L66" s="3">
        <f>K66*1000</f>
        <v>5.9800148010253906</v>
      </c>
      <c r="N66" s="4">
        <f>1628869648.0667-1628869648.06002</f>
        <v>6.6800117492675781E-3</v>
      </c>
      <c r="O66" s="3">
        <f>N66*1000</f>
        <v>6.6800117492675781</v>
      </c>
      <c r="T66" s="4">
        <f>1628873560.4165-1628873560.32879</f>
        <v>8.7710142135620117E-2</v>
      </c>
      <c r="U66" s="3">
        <f>T66*1000</f>
        <v>87.710142135620117</v>
      </c>
      <c r="W66" s="4">
        <f>1628873560.42097-1628873560.32879</f>
        <v>9.2180013656616211E-2</v>
      </c>
      <c r="X66" s="3">
        <f>W66*1000</f>
        <v>92.180013656616211</v>
      </c>
      <c r="Z66" s="4">
        <f>1628873560.42452-1628873560.32879</f>
        <v>9.5730066299438477E-2</v>
      </c>
      <c r="AA66" s="3">
        <f>Z66*1000</f>
        <v>95.730066299438477</v>
      </c>
      <c r="AC66" s="4">
        <f>1628873560.42867-1628873560.32879</f>
        <v>9.9879980087280273E-2</v>
      </c>
      <c r="AD66" s="3">
        <f>AC66*1000</f>
        <v>99.879980087280273</v>
      </c>
      <c r="AF66" s="4">
        <f>1628873560.43297-1628873560.32879</f>
        <v>0.10418009757995605</v>
      </c>
      <c r="AG66" s="3">
        <f>AF66*1000</f>
        <v>104.18009757995605</v>
      </c>
      <c r="AL66" s="4">
        <f>1628875097.29315-1628875097.20454</f>
        <v>8.8609933853149414E-2</v>
      </c>
      <c r="AM66" s="3">
        <f>AL66*1000</f>
        <v>88.609933853149414</v>
      </c>
      <c r="AO66" s="4">
        <f>1628875097.29812-1628875097.20454</f>
        <v>9.3580007553100586E-2</v>
      </c>
      <c r="AP66" s="3">
        <f>AO66*1000</f>
        <v>93.580007553100586</v>
      </c>
      <c r="AR66" s="4">
        <f>1628875097.30189-1628875097.20454</f>
        <v>9.7349882125854492E-2</v>
      </c>
      <c r="AS66" s="3">
        <f>AR66*1000</f>
        <v>97.349882125854492</v>
      </c>
      <c r="AU66" s="4">
        <f>1628875097.30602-1628875097.20454</f>
        <v>0.10148000717163086</v>
      </c>
      <c r="AV66" s="3">
        <f>AU66*1000</f>
        <v>101.48000717163086</v>
      </c>
      <c r="AX66" s="4">
        <f>1628875097.31037-1628875097.20454</f>
        <v>0.10582995414733887</v>
      </c>
      <c r="AY66" s="3">
        <f>AX66*1000</f>
        <v>105.82995414733887</v>
      </c>
    </row>
    <row r="67" spans="2:51" x14ac:dyDescent="0.3">
      <c r="B67" s="4">
        <f>1628869649.07317-1628869649.06764</f>
        <v>5.5298805236816406E-3</v>
      </c>
      <c r="C67" s="3">
        <f t="shared" ref="C67:C75" si="33">B67*1000</f>
        <v>5.5298805236816406</v>
      </c>
      <c r="E67" s="4">
        <f>1628869649.07394-1628869649.06764</f>
        <v>6.2999725341796875E-3</v>
      </c>
      <c r="F67" s="3">
        <f t="shared" ref="F67:F75" si="34">E67*1000</f>
        <v>6.2999725341796875</v>
      </c>
      <c r="H67" s="4">
        <f>1628869649.07444-1628869649.06764</f>
        <v>6.7999362945556641E-3</v>
      </c>
      <c r="I67" s="3">
        <f t="shared" ref="I67:I75" si="35">H67*1000</f>
        <v>6.7999362945556641</v>
      </c>
      <c r="K67" s="4">
        <f>1628869649.07334-1628869649.06764</f>
        <v>5.6998729705810547E-3</v>
      </c>
      <c r="L67" s="3">
        <f t="shared" ref="L67:L75" si="36">K67*1000</f>
        <v>5.6998729705810547</v>
      </c>
      <c r="N67" s="4">
        <f>1628869649.07356-1628869649.06764</f>
        <v>5.9199333190917969E-3</v>
      </c>
      <c r="O67" s="3">
        <f t="shared" ref="O67:O75" si="37">N67*1000</f>
        <v>5.9199333190917969</v>
      </c>
      <c r="T67" s="4">
        <f>1628873561.68484-1628873561.59871</f>
        <v>8.6129903793334961E-2</v>
      </c>
      <c r="U67" s="3">
        <f t="shared" ref="U67:U75" si="38">T67*1000</f>
        <v>86.129903793334961</v>
      </c>
      <c r="W67" s="4">
        <f>1628873561.68923-1628873561.59871</f>
        <v>9.0519905090332031E-2</v>
      </c>
      <c r="X67" s="3">
        <f t="shared" ref="X67:X75" si="39">W67*1000</f>
        <v>90.519905090332031</v>
      </c>
      <c r="Z67" s="4">
        <f>1628873561.69385-1628873561.59871</f>
        <v>9.5139980316162109E-2</v>
      </c>
      <c r="AA67" s="3">
        <f t="shared" ref="AA67:AA75" si="40">Z67*1000</f>
        <v>95.139980316162109</v>
      </c>
      <c r="AC67" s="4">
        <f>1628873561.69769-1628873561.59871</f>
        <v>9.8979949951171875E-2</v>
      </c>
      <c r="AD67" s="3">
        <f t="shared" ref="AD67:AD75" si="41">AC67*1000</f>
        <v>98.979949951171875</v>
      </c>
      <c r="AF67" s="4">
        <f>1628873561.7008-1628873561.59871</f>
        <v>0.10208988189697266</v>
      </c>
      <c r="AG67" s="3">
        <f t="shared" ref="AG67:AG75" si="42">AF67*1000</f>
        <v>102.08988189697266</v>
      </c>
      <c r="AL67" s="4">
        <f>1628875098.55729-1628875098.46874</f>
        <v>8.8550090789794922E-2</v>
      </c>
      <c r="AM67" s="3">
        <f t="shared" ref="AM67:AM75" si="43">AL67*1000</f>
        <v>88.550090789794922</v>
      </c>
      <c r="AO67" s="4">
        <f>1628875098.56171-1628875098.46874</f>
        <v>9.2969894409179688E-2</v>
      </c>
      <c r="AP67" s="3">
        <f t="shared" ref="AP67:AP75" si="44">AO67*1000</f>
        <v>92.969894409179688</v>
      </c>
      <c r="AR67" s="4">
        <f>1628875098.56534-1628875098.46874</f>
        <v>9.6600055694580078E-2</v>
      </c>
      <c r="AS67" s="3">
        <f t="shared" ref="AS67:AS75" si="45">AR67*1000</f>
        <v>96.600055694580078</v>
      </c>
      <c r="AU67" s="4">
        <f>1628875098.5693-1628875098.46874</f>
        <v>0.10055994987487793</v>
      </c>
      <c r="AV67" s="3">
        <f t="shared" ref="AV67:AV75" si="46">AU67*1000</f>
        <v>100.55994987487793</v>
      </c>
      <c r="AX67" s="4">
        <f>1628875098.57349-1628875098.46874</f>
        <v>0.10474991798400879</v>
      </c>
      <c r="AY67" s="3">
        <f t="shared" ref="AY67:AY75" si="47">AX67*1000</f>
        <v>104.74991798400879</v>
      </c>
    </row>
    <row r="68" spans="2:51" x14ac:dyDescent="0.3">
      <c r="B68" s="4">
        <f>1628869650.08064-1628869650.07508</f>
        <v>5.5601596832275391E-3</v>
      </c>
      <c r="C68" s="3">
        <f t="shared" si="33"/>
        <v>5.5601596832275391</v>
      </c>
      <c r="E68" s="4">
        <f>1628869650.08144-1628869650.07508</f>
        <v>6.3600540161132813E-3</v>
      </c>
      <c r="F68" s="3">
        <f t="shared" si="34"/>
        <v>6.3600540161132813</v>
      </c>
      <c r="H68" s="4">
        <f>1628869650.08193-1628869650.07508</f>
        <v>6.8500041961669922E-3</v>
      </c>
      <c r="I68" s="3">
        <f t="shared" si="35"/>
        <v>6.8500041961669922</v>
      </c>
      <c r="K68" s="4">
        <f>1628869650.08082-1628869650.07508</f>
        <v>5.7401657104492188E-3</v>
      </c>
      <c r="L68" s="3">
        <f t="shared" si="36"/>
        <v>5.7401657104492188</v>
      </c>
      <c r="N68" s="4">
        <f>1628869650.08103-1628869650.07508</f>
        <v>5.9499740600585938E-3</v>
      </c>
      <c r="O68" s="3">
        <f t="shared" si="37"/>
        <v>5.9499740600585938</v>
      </c>
      <c r="T68" s="4">
        <f>1628873562.94864-1628873562.87167</f>
        <v>7.6970100402832031E-2</v>
      </c>
      <c r="U68" s="3">
        <f t="shared" si="38"/>
        <v>76.970100402832031</v>
      </c>
      <c r="W68" s="4">
        <f>1628873562.95042-1628873562.87167</f>
        <v>7.8749895095825195E-2</v>
      </c>
      <c r="X68" s="3">
        <f t="shared" si="39"/>
        <v>78.749895095825195</v>
      </c>
      <c r="Z68" s="4">
        <f>1628873562.95224-1628873562.87167</f>
        <v>8.0569982528686523E-2</v>
      </c>
      <c r="AA68" s="3">
        <f t="shared" si="40"/>
        <v>80.569982528686523</v>
      </c>
      <c r="AC68" s="4">
        <f>1628873562.95429-1628873562.87167</f>
        <v>8.2619905471801758E-2</v>
      </c>
      <c r="AD68" s="3">
        <f t="shared" si="41"/>
        <v>82.619905471801758</v>
      </c>
      <c r="AF68" s="4">
        <f>1628873562.95614-1628873562.87167</f>
        <v>8.4470033645629883E-2</v>
      </c>
      <c r="AG68" s="3">
        <f t="shared" si="42"/>
        <v>84.470033645629883</v>
      </c>
      <c r="AL68" s="4">
        <f>1628875099.82565-1628875099.73556</f>
        <v>9.0090036392211914E-2</v>
      </c>
      <c r="AM68" s="3">
        <f t="shared" si="43"/>
        <v>90.090036392211914</v>
      </c>
      <c r="AO68" s="4">
        <f>1628875099.83032-1628875099.73556</f>
        <v>9.4759941101074219E-2</v>
      </c>
      <c r="AP68" s="3">
        <f t="shared" si="44"/>
        <v>94.759941101074219</v>
      </c>
      <c r="AR68" s="4">
        <f>1628875099.83423-1628875099.73556</f>
        <v>9.8670005798339844E-2</v>
      </c>
      <c r="AS68" s="3">
        <f t="shared" si="45"/>
        <v>98.670005798339844</v>
      </c>
      <c r="AU68" s="4">
        <f>1628875099.83841-1628875099.73556</f>
        <v>0.10284996032714844</v>
      </c>
      <c r="AV68" s="3">
        <f t="shared" si="46"/>
        <v>102.84996032714844</v>
      </c>
      <c r="AX68" s="4">
        <f>1628875099.84278-1628875099.73556</f>
        <v>0.10722017288208008</v>
      </c>
      <c r="AY68" s="3">
        <f t="shared" si="47"/>
        <v>107.22017288208008</v>
      </c>
    </row>
    <row r="69" spans="2:51" x14ac:dyDescent="0.3">
      <c r="B69" s="4">
        <f>1628869651.08805-1628869651.0824</f>
        <v>5.6498050689697266E-3</v>
      </c>
      <c r="C69" s="3">
        <f t="shared" si="33"/>
        <v>5.6498050689697266</v>
      </c>
      <c r="E69" s="4">
        <f>1628869651.08799-1628869651.0824</f>
        <v>5.5899620056152344E-3</v>
      </c>
      <c r="F69" s="3">
        <f t="shared" si="34"/>
        <v>5.5899620056152344</v>
      </c>
      <c r="H69" s="4">
        <f>1628869651.08878-1628869651.0824</f>
        <v>6.3798427581787109E-3</v>
      </c>
      <c r="I69" s="3">
        <f t="shared" si="35"/>
        <v>6.3798427581787109</v>
      </c>
      <c r="K69" s="4">
        <f>1628869651.08798-1628869651.0824</f>
        <v>5.5799484252929688E-3</v>
      </c>
      <c r="L69" s="3">
        <f t="shared" si="36"/>
        <v>5.5799484252929688</v>
      </c>
      <c r="N69" s="4">
        <f>1628869651.08839-1628869651.0824</f>
        <v>5.9900283813476563E-3</v>
      </c>
      <c r="O69" s="3">
        <f t="shared" si="37"/>
        <v>5.9900283813476563</v>
      </c>
      <c r="T69" s="4">
        <f>1628873564.16602-1628873564.07584</f>
        <v>9.0179920196533203E-2</v>
      </c>
      <c r="U69" s="3">
        <f t="shared" si="38"/>
        <v>90.179920196533203</v>
      </c>
      <c r="W69" s="4">
        <f>1628873564.16907-1628873564.07584</f>
        <v>9.3230009078979492E-2</v>
      </c>
      <c r="X69" s="3">
        <f t="shared" si="39"/>
        <v>93.230009078979492</v>
      </c>
      <c r="Z69" s="4">
        <f>1628873564.17349-1628873564.07584</f>
        <v>9.7650051116943359E-2</v>
      </c>
      <c r="AA69" s="3">
        <f t="shared" si="40"/>
        <v>97.650051116943359</v>
      </c>
      <c r="AC69" s="4">
        <f>1628873564.17705-1628873564.07584</f>
        <v>0.10121011734008789</v>
      </c>
      <c r="AD69" s="3">
        <f t="shared" si="41"/>
        <v>101.21011734008789</v>
      </c>
      <c r="AF69" s="4">
        <f>1628873564.181-1628873564.07584</f>
        <v>0.10515999794006348</v>
      </c>
      <c r="AG69" s="3">
        <f t="shared" si="42"/>
        <v>105.15999794006348</v>
      </c>
      <c r="AL69" s="4">
        <f>1628875101.08997-1628875101.00213</f>
        <v>8.7840080261230469E-2</v>
      </c>
      <c r="AM69" s="3">
        <f t="shared" si="43"/>
        <v>87.840080261230469</v>
      </c>
      <c r="AO69" s="4">
        <f>1628875101.09358-1628875101.00213</f>
        <v>9.1449975967407227E-2</v>
      </c>
      <c r="AP69" s="3">
        <f t="shared" si="44"/>
        <v>91.449975967407227</v>
      </c>
      <c r="AR69" s="4">
        <f>1628875101.09723-1628875101.00213</f>
        <v>9.5099925994873047E-2</v>
      </c>
      <c r="AS69" s="3">
        <f t="shared" si="45"/>
        <v>95.099925994873047</v>
      </c>
      <c r="AU69" s="4">
        <f>1628875101.1016-1628875101.00213</f>
        <v>9.9469900131225586E-2</v>
      </c>
      <c r="AV69" s="3">
        <f t="shared" si="46"/>
        <v>99.469900131225586</v>
      </c>
      <c r="AX69" s="4">
        <f>1628875101.10562-1628875101.00213</f>
        <v>0.10348987579345703</v>
      </c>
      <c r="AY69" s="3">
        <f t="shared" si="47"/>
        <v>103.48987579345703</v>
      </c>
    </row>
    <row r="70" spans="2:51" x14ac:dyDescent="0.3">
      <c r="B70" s="4">
        <f>1628869652.0951-1628869652.08963</f>
        <v>5.4700374603271484E-3</v>
      </c>
      <c r="C70" s="3">
        <f t="shared" si="33"/>
        <v>5.4700374603271484</v>
      </c>
      <c r="E70" s="4">
        <f>1628869652.09566-1628869652.08963</f>
        <v>6.0300827026367188E-3</v>
      </c>
      <c r="F70" s="3">
        <f t="shared" si="34"/>
        <v>6.0300827026367188</v>
      </c>
      <c r="H70" s="4">
        <f>1628869652.09605-1628869652.08963</f>
        <v>6.420135498046875E-3</v>
      </c>
      <c r="I70" s="3">
        <f t="shared" si="35"/>
        <v>6.420135498046875</v>
      </c>
      <c r="K70" s="4">
        <f>1628869652.09516-1628869652.08963</f>
        <v>5.5301189422607422E-3</v>
      </c>
      <c r="L70" s="3">
        <f t="shared" si="36"/>
        <v>5.5301189422607422</v>
      </c>
      <c r="N70" s="4">
        <f>1628869652.09549-1628869652.08963</f>
        <v>5.8600902557373047E-3</v>
      </c>
      <c r="O70" s="3">
        <f t="shared" si="37"/>
        <v>5.8600902557373047</v>
      </c>
      <c r="T70" s="4">
        <f>1628873565.44152-1628873565.35344</f>
        <v>8.8079929351806641E-2</v>
      </c>
      <c r="U70" s="3">
        <f t="shared" si="38"/>
        <v>88.079929351806641</v>
      </c>
      <c r="W70" s="4">
        <f>1628873565.44584-1628873565.35344</f>
        <v>9.2399835586547852E-2</v>
      </c>
      <c r="X70" s="3">
        <f t="shared" si="39"/>
        <v>92.399835586547852</v>
      </c>
      <c r="Z70" s="4">
        <f>1628873565.45018-1628873565.35344</f>
        <v>9.6740007400512695E-2</v>
      </c>
      <c r="AA70" s="3">
        <f t="shared" si="40"/>
        <v>96.740007400512695</v>
      </c>
      <c r="AC70" s="4">
        <f>1628873565.45369-1628873565.35344</f>
        <v>0.1002500057220459</v>
      </c>
      <c r="AD70" s="3">
        <f t="shared" si="41"/>
        <v>100.2500057220459</v>
      </c>
      <c r="AF70" s="4">
        <f>1628873565.45663-1628873565.35344</f>
        <v>0.10318994522094727</v>
      </c>
      <c r="AG70" s="3">
        <f t="shared" si="42"/>
        <v>103.18994522094727</v>
      </c>
      <c r="AL70" s="4">
        <f>1628875102.36052-1628875102.26671</f>
        <v>9.3809843063354492E-2</v>
      </c>
      <c r="AM70" s="3">
        <f t="shared" si="43"/>
        <v>93.809843063354492</v>
      </c>
      <c r="AO70" s="4">
        <f>1628875102.36531-1628875102.26671</f>
        <v>9.8599910736083984E-2</v>
      </c>
      <c r="AP70" s="3">
        <f t="shared" si="44"/>
        <v>98.599910736083984</v>
      </c>
      <c r="AR70" s="4">
        <f>1628875102.36946-1628875102.26671</f>
        <v>0.10275006294250488</v>
      </c>
      <c r="AS70" s="3">
        <f t="shared" si="45"/>
        <v>102.75006294250488</v>
      </c>
      <c r="AU70" s="4">
        <f>1628875102.37367-1628875102.26671</f>
        <v>0.10696005821228027</v>
      </c>
      <c r="AV70" s="3">
        <f t="shared" si="46"/>
        <v>106.96005821228027</v>
      </c>
      <c r="AX70" s="4">
        <f>1628875102.3776-1628875102.26671</f>
        <v>0.11088991165161133</v>
      </c>
      <c r="AY70" s="3">
        <f t="shared" si="47"/>
        <v>110.88991165161133</v>
      </c>
    </row>
    <row r="71" spans="2:51" x14ac:dyDescent="0.3">
      <c r="B71" s="4">
        <f>1628869653.10163-1628869653.09703</f>
        <v>4.6000480651855469E-3</v>
      </c>
      <c r="C71" s="3">
        <f t="shared" si="33"/>
        <v>4.6000480651855469</v>
      </c>
      <c r="E71" s="4">
        <f>1628869653.10198-1628869653.09703</f>
        <v>4.9500465393066406E-3</v>
      </c>
      <c r="F71" s="3">
        <f t="shared" si="34"/>
        <v>4.9500465393066406</v>
      </c>
      <c r="H71" s="4">
        <f>1628869653.10254-1628869653.09703</f>
        <v>5.5100917816162109E-3</v>
      </c>
      <c r="I71" s="3">
        <f t="shared" si="35"/>
        <v>5.5100917816162109</v>
      </c>
      <c r="K71" s="4">
        <f>1628869653.10169-1628869653.09703</f>
        <v>4.6601295471191406E-3</v>
      </c>
      <c r="L71" s="3">
        <f t="shared" si="36"/>
        <v>4.6601295471191406</v>
      </c>
      <c r="N71" s="4">
        <f>1628869653.10204-1628869653.09703</f>
        <v>5.0101280212402344E-3</v>
      </c>
      <c r="O71" s="3">
        <f t="shared" si="37"/>
        <v>5.0101280212402344</v>
      </c>
      <c r="T71" s="4">
        <f>1628873566.71204-1628873566.62751</f>
        <v>8.4529876708984375E-2</v>
      </c>
      <c r="U71" s="3">
        <f t="shared" si="38"/>
        <v>84.529876708984375</v>
      </c>
      <c r="W71" s="4">
        <f>1628873566.7151-1628873566.62751</f>
        <v>8.758997917175293E-2</v>
      </c>
      <c r="X71" s="3">
        <f t="shared" si="39"/>
        <v>87.58997917175293</v>
      </c>
      <c r="Z71" s="4">
        <f>1628873566.71808-1628873566.62751</f>
        <v>9.0569972991943359E-2</v>
      </c>
      <c r="AA71" s="3">
        <f t="shared" si="40"/>
        <v>90.569972991943359</v>
      </c>
      <c r="AC71" s="4">
        <f>1628873566.72133-1628873566.62751</f>
        <v>9.3819856643676758E-2</v>
      </c>
      <c r="AD71" s="3">
        <f t="shared" si="41"/>
        <v>93.819856643676758</v>
      </c>
      <c r="AF71" s="4">
        <f>1628873566.72527-1628873566.62751</f>
        <v>9.775996208190918E-2</v>
      </c>
      <c r="AG71" s="3">
        <f t="shared" si="42"/>
        <v>97.75996208190918</v>
      </c>
      <c r="AL71" s="4">
        <f>1628875103.6259-1628875103.5344</f>
        <v>9.1500043869018555E-2</v>
      </c>
      <c r="AM71" s="3">
        <f t="shared" si="43"/>
        <v>91.500043869018555</v>
      </c>
      <c r="AO71" s="4">
        <f>1628875103.63042-1628875103.5344</f>
        <v>9.6019983291625977E-2</v>
      </c>
      <c r="AP71" s="3">
        <f t="shared" si="44"/>
        <v>96.019983291625977</v>
      </c>
      <c r="AR71" s="4">
        <f>1628875103.63495-1628875103.5344</f>
        <v>0.10054993629455566</v>
      </c>
      <c r="AS71" s="3">
        <f t="shared" si="45"/>
        <v>100.54993629455566</v>
      </c>
      <c r="AU71" s="4">
        <f>1628875103.63927-1628875103.5344</f>
        <v>0.10487008094787598</v>
      </c>
      <c r="AV71" s="3">
        <f t="shared" si="46"/>
        <v>104.87008094787598</v>
      </c>
      <c r="AX71" s="4">
        <f>1628875103.64365-1628875103.5344</f>
        <v>0.10925006866455078</v>
      </c>
      <c r="AY71" s="3">
        <f t="shared" si="47"/>
        <v>109.25006866455078</v>
      </c>
    </row>
    <row r="72" spans="2:51" x14ac:dyDescent="0.3">
      <c r="B72" s="4">
        <f>1628869654.10889-1628869654.10327</f>
        <v>5.6200027465820313E-3</v>
      </c>
      <c r="C72" s="3">
        <f t="shared" si="33"/>
        <v>5.6200027465820313</v>
      </c>
      <c r="E72" s="4">
        <f>1628869654.10916-1628869654.10327</f>
        <v>5.889892578125E-3</v>
      </c>
      <c r="F72" s="3">
        <f t="shared" si="34"/>
        <v>5.889892578125</v>
      </c>
      <c r="H72" s="4">
        <f>1628869654.10962-1628869654.10327</f>
        <v>6.3500404357910156E-3</v>
      </c>
      <c r="I72" s="3">
        <f t="shared" si="35"/>
        <v>6.3500404357910156</v>
      </c>
      <c r="K72" s="4">
        <f>1628869654.10967-1628869654.10327</f>
        <v>6.3998699188232422E-3</v>
      </c>
      <c r="L72" s="3">
        <f t="shared" si="36"/>
        <v>6.3998699188232422</v>
      </c>
      <c r="N72" s="4">
        <f>1628869654.10931-1628869654.10327</f>
        <v>6.0398578643798828E-3</v>
      </c>
      <c r="O72" s="3">
        <f t="shared" si="37"/>
        <v>6.0398578643798828</v>
      </c>
      <c r="T72" s="4">
        <f>1628873567.97568-1628873567.88822</f>
        <v>8.7460041046142578E-2</v>
      </c>
      <c r="U72" s="3">
        <f t="shared" si="38"/>
        <v>87.460041046142578</v>
      </c>
      <c r="W72" s="4">
        <f>1628873567.98038-1628873567.88822</f>
        <v>9.215998649597168E-2</v>
      </c>
      <c r="X72" s="3">
        <f t="shared" si="39"/>
        <v>92.15998649597168</v>
      </c>
      <c r="Z72" s="4">
        <f>1628873567.98464-1628873567.88822</f>
        <v>9.6419811248779297E-2</v>
      </c>
      <c r="AA72" s="3">
        <f t="shared" si="40"/>
        <v>96.419811248779297</v>
      </c>
      <c r="AC72" s="4">
        <f>1628873567.98898-1628873567.88822</f>
        <v>0.10075998306274414</v>
      </c>
      <c r="AD72" s="3">
        <f t="shared" si="41"/>
        <v>100.75998306274414</v>
      </c>
      <c r="AF72" s="4">
        <f>1628873567.99334-1628873567.88822</f>
        <v>0.10511994361877441</v>
      </c>
      <c r="AG72" s="3">
        <f t="shared" si="42"/>
        <v>105.11994361877441</v>
      </c>
      <c r="AL72" s="4">
        <f>1628875104.90265-1628875104.81043</f>
        <v>9.2220067977905273E-2</v>
      </c>
      <c r="AM72" s="3">
        <f t="shared" si="43"/>
        <v>92.220067977905273</v>
      </c>
      <c r="AO72" s="4">
        <f>1628875104.90756-1628875104.81043</f>
        <v>9.7130060195922852E-2</v>
      </c>
      <c r="AP72" s="3">
        <f t="shared" si="44"/>
        <v>97.130060195922852</v>
      </c>
      <c r="AR72" s="4">
        <f>1628875104.91156-1628875104.81043</f>
        <v>0.10113000869750977</v>
      </c>
      <c r="AS72" s="3">
        <f t="shared" si="45"/>
        <v>101.13000869750977</v>
      </c>
      <c r="AU72" s="4">
        <f>1628875104.9158-1628875104.81043</f>
        <v>0.10537004470825195</v>
      </c>
      <c r="AV72" s="3">
        <f t="shared" si="46"/>
        <v>105.37004470825195</v>
      </c>
      <c r="AX72" s="4">
        <f>1628875104.92083-1628875104.81043</f>
        <v>0.11039996147155762</v>
      </c>
      <c r="AY72" s="3">
        <f t="shared" si="47"/>
        <v>110.39996147155762</v>
      </c>
    </row>
    <row r="73" spans="2:51" x14ac:dyDescent="0.3">
      <c r="B73" s="4">
        <f>1628869655.1161-1628869655.11052</f>
        <v>5.5801868438720703E-3</v>
      </c>
      <c r="C73" s="3">
        <f t="shared" si="33"/>
        <v>5.5801868438720703</v>
      </c>
      <c r="E73" s="4">
        <f>1628869655.11643-1628869655.11052</f>
        <v>5.9101581573486328E-3</v>
      </c>
      <c r="F73" s="3">
        <f t="shared" si="34"/>
        <v>5.9101581573486328</v>
      </c>
      <c r="H73" s="4">
        <f>1628869655.11722-1628869655.11052</f>
        <v>6.7000389099121094E-3</v>
      </c>
      <c r="I73" s="3">
        <f t="shared" si="35"/>
        <v>6.7000389099121094</v>
      </c>
      <c r="K73" s="4">
        <f>1628869655.11681-1628869655.11052</f>
        <v>6.2901973724365234E-3</v>
      </c>
      <c r="L73" s="3">
        <f t="shared" si="36"/>
        <v>6.2901973724365234</v>
      </c>
      <c r="N73" s="4">
        <f>1628869655.11648-1628869655.11052</f>
        <v>5.9602260589599609E-3</v>
      </c>
      <c r="O73" s="3">
        <f t="shared" si="37"/>
        <v>5.9602260589599609</v>
      </c>
      <c r="T73" s="4">
        <f>1628873569.24212-1628873569.15379</f>
        <v>8.833003044128418E-2</v>
      </c>
      <c r="U73" s="3">
        <f t="shared" si="38"/>
        <v>88.33003044128418</v>
      </c>
      <c r="W73" s="4">
        <f>1628873569.24639-1628873569.15379</f>
        <v>9.2600107192993164E-2</v>
      </c>
      <c r="X73" s="3">
        <f t="shared" si="39"/>
        <v>92.600107192993164</v>
      </c>
      <c r="Z73" s="4">
        <f>1628873569.25089-1628873569.15379</f>
        <v>9.7100019454956055E-2</v>
      </c>
      <c r="AA73" s="3">
        <f t="shared" si="40"/>
        <v>97.100019454956055</v>
      </c>
      <c r="AC73" s="4">
        <f>1628873569.25411-1628873569.15379</f>
        <v>0.10032010078430176</v>
      </c>
      <c r="AD73" s="3">
        <f t="shared" si="41"/>
        <v>100.32010078430176</v>
      </c>
      <c r="AF73" s="4">
        <f>1628873569.25857-1628873569.15379</f>
        <v>0.10477995872497559</v>
      </c>
      <c r="AG73" s="3">
        <f t="shared" si="42"/>
        <v>104.77995872497559</v>
      </c>
      <c r="AL73" s="4">
        <f>1628875106.16423-1628875106.07662</f>
        <v>8.7610006332397461E-2</v>
      </c>
      <c r="AM73" s="3">
        <f t="shared" si="43"/>
        <v>87.610006332397461</v>
      </c>
      <c r="AO73" s="4">
        <f>1628875106.16719-1628875106.07662</f>
        <v>9.0569972991943359E-2</v>
      </c>
      <c r="AP73" s="3">
        <f t="shared" si="44"/>
        <v>90.569972991943359</v>
      </c>
      <c r="AR73" s="4">
        <f>1628875106.1712-1628875106.07662</f>
        <v>9.4579935073852539E-2</v>
      </c>
      <c r="AS73" s="3">
        <f t="shared" si="45"/>
        <v>94.579935073852539</v>
      </c>
      <c r="AU73" s="4">
        <f>1628875106.17525-1628875106.07662</f>
        <v>9.8629951477050781E-2</v>
      </c>
      <c r="AV73" s="3">
        <f t="shared" si="46"/>
        <v>98.629951477050781</v>
      </c>
      <c r="AX73" s="4">
        <f>1628875106.17958-1628875106.07662</f>
        <v>0.10295987129211426</v>
      </c>
      <c r="AY73" s="3">
        <f t="shared" si="47"/>
        <v>102.95987129211426</v>
      </c>
    </row>
    <row r="74" spans="2:51" x14ac:dyDescent="0.3">
      <c r="B74" s="4">
        <f>1628869656.12341-1628869656.11783</f>
        <v>5.5799484252929688E-3</v>
      </c>
      <c r="C74" s="3">
        <f t="shared" si="33"/>
        <v>5.5799484252929688</v>
      </c>
      <c r="E74" s="4">
        <f>1628869656.12367-1628869656.11783</f>
        <v>5.8400630950927734E-3</v>
      </c>
      <c r="F74" s="3">
        <f t="shared" si="34"/>
        <v>5.8400630950927734</v>
      </c>
      <c r="H74" s="4">
        <f>1628869656.12443-1628869656.11783</f>
        <v>6.5999031066894531E-3</v>
      </c>
      <c r="I74" s="3">
        <f t="shared" si="35"/>
        <v>6.5999031066894531</v>
      </c>
      <c r="K74" s="4">
        <f>1628869656.12412-1628869656.11783</f>
        <v>6.2899589538574219E-3</v>
      </c>
      <c r="L74" s="3">
        <f t="shared" si="36"/>
        <v>6.2899589538574219</v>
      </c>
      <c r="N74" s="4">
        <f>1628869656.12379-1628869656.11783</f>
        <v>5.9599876403808594E-3</v>
      </c>
      <c r="O74" s="3">
        <f t="shared" si="37"/>
        <v>5.9599876403808594</v>
      </c>
      <c r="T74" s="4">
        <f>1628873570.5104-1628873570.42245</f>
        <v>8.7949991226196289E-2</v>
      </c>
      <c r="U74" s="3">
        <f t="shared" si="38"/>
        <v>87.949991226196289</v>
      </c>
      <c r="W74" s="4">
        <f>1628873570.51463-1628873570.42245</f>
        <v>9.2180013656616211E-2</v>
      </c>
      <c r="X74" s="3">
        <f t="shared" si="39"/>
        <v>92.180013656616211</v>
      </c>
      <c r="Z74" s="4">
        <f>1628873570.51876-1628873570.42245</f>
        <v>9.6309900283813477E-2</v>
      </c>
      <c r="AA74" s="3">
        <f t="shared" si="40"/>
        <v>96.309900283813477</v>
      </c>
      <c r="AC74" s="4">
        <f>1628873570.52292-1628873570.42245</f>
        <v>0.10046982765197754</v>
      </c>
      <c r="AD74" s="3">
        <f t="shared" si="41"/>
        <v>100.46982765197754</v>
      </c>
      <c r="AF74" s="4">
        <f>1628873570.52741-1628873570.42245</f>
        <v>0.10495996475219727</v>
      </c>
      <c r="AG74" s="3">
        <f t="shared" si="42"/>
        <v>104.95996475219727</v>
      </c>
      <c r="AL74" s="4">
        <f>1628875107.43548-1628875107.34241</f>
        <v>9.3070030212402344E-2</v>
      </c>
      <c r="AM74" s="3">
        <f t="shared" si="43"/>
        <v>93.070030212402344</v>
      </c>
      <c r="AO74" s="4">
        <f>1628875107.4398-1628875107.34241</f>
        <v>9.7389936447143555E-2</v>
      </c>
      <c r="AP74" s="3">
        <f t="shared" si="44"/>
        <v>97.389936447143555</v>
      </c>
      <c r="AR74" s="4">
        <f>1628875107.44315-1628875107.34241</f>
        <v>0.10073995590209961</v>
      </c>
      <c r="AS74" s="3">
        <f t="shared" si="45"/>
        <v>100.73995590209961</v>
      </c>
      <c r="AU74" s="4">
        <f>1628875107.44726-1628875107.34241</f>
        <v>0.10484981536865234</v>
      </c>
      <c r="AV74" s="3">
        <f t="shared" si="46"/>
        <v>104.84981536865234</v>
      </c>
      <c r="AX74" s="4">
        <f>1628875107.451-1628875107.34241</f>
        <v>0.10858988761901855</v>
      </c>
      <c r="AY74" s="3">
        <f t="shared" si="47"/>
        <v>108.58988761901855</v>
      </c>
    </row>
    <row r="75" spans="2:51" x14ac:dyDescent="0.3">
      <c r="B75" s="4">
        <f>1628869657.13054-1628869657.12504</f>
        <v>5.4998397827148438E-3</v>
      </c>
      <c r="C75" s="3">
        <f t="shared" si="33"/>
        <v>5.4998397827148438</v>
      </c>
      <c r="E75" s="4">
        <f>1628869657.13114-1628869657.12504</f>
        <v>6.0999393463134766E-3</v>
      </c>
      <c r="F75" s="3">
        <f t="shared" si="34"/>
        <v>6.0999393463134766</v>
      </c>
      <c r="H75" s="4">
        <f>1628869657.13536-1628869657.12504</f>
        <v>1.0319948196411133E-2</v>
      </c>
      <c r="I75" s="3">
        <f t="shared" si="35"/>
        <v>10.319948196411133</v>
      </c>
      <c r="K75" s="4">
        <f>1628869657.13958-1628869657.12504</f>
        <v>1.4539957046508789E-2</v>
      </c>
      <c r="L75" s="3">
        <f t="shared" si="36"/>
        <v>14.539957046508789</v>
      </c>
      <c r="N75" s="4">
        <f>1628869657.13503-1628869657.12504</f>
        <v>9.9899768829345703E-3</v>
      </c>
      <c r="O75" s="3">
        <f t="shared" si="37"/>
        <v>9.9899768829345703</v>
      </c>
      <c r="T75" s="4">
        <f>1628873571.7812-1628873571.69399</f>
        <v>8.7209939956665039E-2</v>
      </c>
      <c r="U75" s="3">
        <f t="shared" si="38"/>
        <v>87.209939956665039</v>
      </c>
      <c r="W75" s="4">
        <f>1628873571.78521-1628873571.69399</f>
        <v>9.1219902038574219E-2</v>
      </c>
      <c r="X75" s="3">
        <f t="shared" si="39"/>
        <v>91.219902038574219</v>
      </c>
      <c r="Z75" s="4">
        <f>1628873571.7896-1628873571.69399</f>
        <v>9.5609903335571289E-2</v>
      </c>
      <c r="AA75" s="3">
        <f t="shared" si="40"/>
        <v>95.609903335571289</v>
      </c>
      <c r="AC75" s="4">
        <f>1628873571.7939-1628873571.69399</f>
        <v>9.991002082824707E-2</v>
      </c>
      <c r="AD75" s="3">
        <f t="shared" si="41"/>
        <v>99.91002082824707</v>
      </c>
      <c r="AF75" s="4">
        <f>1628873571.79805-1628873571.69399</f>
        <v>0.10405993461608887</v>
      </c>
      <c r="AG75" s="3">
        <f t="shared" si="42"/>
        <v>104.05993461608887</v>
      </c>
      <c r="AL75" s="4">
        <f>1628875108.69599-1628875108.6092</f>
        <v>8.6790084838867188E-2</v>
      </c>
      <c r="AM75" s="3">
        <f t="shared" si="43"/>
        <v>86.790084838867188</v>
      </c>
      <c r="AO75" s="4">
        <f>1628875108.70103-1628875108.6092</f>
        <v>9.1830015182495117E-2</v>
      </c>
      <c r="AP75" s="3">
        <f t="shared" si="44"/>
        <v>91.830015182495117</v>
      </c>
      <c r="AR75" s="4">
        <f>1628875108.70386-1628875108.6092</f>
        <v>9.4660043716430664E-2</v>
      </c>
      <c r="AS75" s="3">
        <f t="shared" si="45"/>
        <v>94.660043716430664</v>
      </c>
      <c r="AU75" s="4">
        <f>1628875108.70699-1628875108.6092</f>
        <v>9.7790002822875977E-2</v>
      </c>
      <c r="AV75" s="3">
        <f t="shared" si="46"/>
        <v>97.790002822875977</v>
      </c>
      <c r="AX75" s="4">
        <f>1628875108.71191-1628875108.6092</f>
        <v>0.10271000862121582</v>
      </c>
      <c r="AY75" s="3">
        <f t="shared" si="47"/>
        <v>102.71000862121582</v>
      </c>
    </row>
    <row r="76" spans="2:51" x14ac:dyDescent="0.3">
      <c r="C76" s="2">
        <f>AVERAGE(C66:C75)</f>
        <v>5.4909944534301758</v>
      </c>
      <c r="F76" s="2">
        <f>AVERAGE(F66:F75)</f>
        <v>5.9240102767944336</v>
      </c>
      <c r="I76" s="2">
        <f>AVERAGE(I66:I75)</f>
        <v>6.8889856338500977</v>
      </c>
      <c r="L76" s="2">
        <f>AVERAGE(L66:L75)</f>
        <v>6.6710233688354492</v>
      </c>
      <c r="O76" s="2">
        <f>AVERAGE(O66:O75)</f>
        <v>6.3360214233398438</v>
      </c>
      <c r="U76" s="2">
        <f>AVERAGE(U66:U75)</f>
        <v>86.454987525939941</v>
      </c>
      <c r="X76" s="2">
        <f>AVERAGE(X66:X75)</f>
        <v>90.282964706420898</v>
      </c>
      <c r="AA76" s="2">
        <f>AVERAGE(AA66:AA75)</f>
        <v>94.183969497680664</v>
      </c>
      <c r="AD76" s="2">
        <f>AVERAGE(AD66:AD75)</f>
        <v>97.821974754333496</v>
      </c>
      <c r="AG76" s="2">
        <f>AVERAGE(AG66:AG75)</f>
        <v>101.57697200775146</v>
      </c>
      <c r="AM76" s="2">
        <f>AVERAGE(AM66:AM75)</f>
        <v>90.009021759033203</v>
      </c>
      <c r="AP76" s="2">
        <f>AVERAGE(AP66:AP75)</f>
        <v>94.429969787597656</v>
      </c>
      <c r="AS76" s="2">
        <f>AVERAGE(AS66:AS75)</f>
        <v>98.212981224060059</v>
      </c>
      <c r="AV76" s="2">
        <f>AVERAGE(AV66:AV75)</f>
        <v>102.28297710418701</v>
      </c>
      <c r="AY76" s="2">
        <f>AVERAGE(AY66:AY75)</f>
        <v>106.60896301269531</v>
      </c>
    </row>
    <row r="78" spans="2:51" x14ac:dyDescent="0.3">
      <c r="B78" s="6" t="s">
        <v>22</v>
      </c>
      <c r="C78" s="6"/>
      <c r="E78" s="6" t="s">
        <v>23</v>
      </c>
      <c r="F78" s="6"/>
      <c r="H78" s="6" t="s">
        <v>24</v>
      </c>
      <c r="I78" s="6"/>
      <c r="K78" s="6" t="s">
        <v>25</v>
      </c>
      <c r="L78" s="6"/>
      <c r="N78" s="6" t="s">
        <v>26</v>
      </c>
      <c r="O78" s="6"/>
      <c r="T78" s="6" t="s">
        <v>22</v>
      </c>
      <c r="U78" s="6"/>
      <c r="W78" s="6" t="s">
        <v>23</v>
      </c>
      <c r="X78" s="6"/>
      <c r="Z78" s="6" t="s">
        <v>24</v>
      </c>
      <c r="AA78" s="6"/>
      <c r="AC78" s="6" t="s">
        <v>25</v>
      </c>
      <c r="AD78" s="6"/>
      <c r="AF78" s="6" t="s">
        <v>26</v>
      </c>
      <c r="AG78" s="6"/>
      <c r="AL78" s="6" t="s">
        <v>22</v>
      </c>
      <c r="AM78" s="6"/>
      <c r="AO78" s="6" t="s">
        <v>23</v>
      </c>
      <c r="AP78" s="6"/>
      <c r="AR78" s="6" t="s">
        <v>24</v>
      </c>
      <c r="AS78" s="6"/>
      <c r="AU78" s="6" t="s">
        <v>25</v>
      </c>
      <c r="AV78" s="6"/>
      <c r="AX78" s="6" t="s">
        <v>26</v>
      </c>
      <c r="AY78" s="6"/>
    </row>
    <row r="79" spans="2:51" ht="33.6" customHeight="1" x14ac:dyDescent="0.3">
      <c r="B79" s="8" t="s">
        <v>2</v>
      </c>
      <c r="C79" s="8"/>
      <c r="E79" s="8" t="s">
        <v>2</v>
      </c>
      <c r="F79" s="8"/>
      <c r="H79" s="8" t="s">
        <v>2</v>
      </c>
      <c r="I79" s="8"/>
      <c r="K79" s="8" t="s">
        <v>2</v>
      </c>
      <c r="L79" s="8"/>
      <c r="N79" s="8" t="s">
        <v>2</v>
      </c>
      <c r="O79" s="8"/>
      <c r="T79" s="8" t="s">
        <v>62</v>
      </c>
      <c r="U79" s="8"/>
      <c r="W79" s="8" t="s">
        <v>62</v>
      </c>
      <c r="X79" s="8"/>
      <c r="Z79" s="8" t="s">
        <v>62</v>
      </c>
      <c r="AA79" s="8"/>
      <c r="AC79" s="8" t="s">
        <v>62</v>
      </c>
      <c r="AD79" s="8"/>
      <c r="AF79" s="8" t="s">
        <v>62</v>
      </c>
      <c r="AG79" s="8"/>
      <c r="AL79" s="8" t="s">
        <v>63</v>
      </c>
      <c r="AM79" s="8"/>
      <c r="AO79" s="8" t="s">
        <v>63</v>
      </c>
      <c r="AP79" s="8"/>
      <c r="AR79" s="8" t="s">
        <v>63</v>
      </c>
      <c r="AS79" s="8"/>
      <c r="AU79" s="8" t="s">
        <v>63</v>
      </c>
      <c r="AV79" s="8"/>
      <c r="AX79" s="8" t="s">
        <v>63</v>
      </c>
      <c r="AY79" s="8"/>
    </row>
    <row r="80" spans="2:51" x14ac:dyDescent="0.3">
      <c r="B80" s="1" t="s">
        <v>1</v>
      </c>
      <c r="C80" s="1" t="s">
        <v>0</v>
      </c>
      <c r="E80" s="1" t="s">
        <v>1</v>
      </c>
      <c r="F80" s="1" t="s">
        <v>0</v>
      </c>
      <c r="H80" s="1" t="s">
        <v>1</v>
      </c>
      <c r="I80" s="1" t="s">
        <v>0</v>
      </c>
      <c r="K80" s="1" t="s">
        <v>1</v>
      </c>
      <c r="L80" s="1" t="s">
        <v>0</v>
      </c>
      <c r="N80" s="1" t="s">
        <v>1</v>
      </c>
      <c r="O80" s="1" t="s">
        <v>0</v>
      </c>
      <c r="T80" s="1" t="s">
        <v>1</v>
      </c>
      <c r="U80" s="1" t="s">
        <v>0</v>
      </c>
      <c r="W80" s="1" t="s">
        <v>1</v>
      </c>
      <c r="X80" s="1" t="s">
        <v>0</v>
      </c>
      <c r="Z80" s="1" t="s">
        <v>1</v>
      </c>
      <c r="AA80" s="1" t="s">
        <v>0</v>
      </c>
      <c r="AC80" s="1" t="s">
        <v>1</v>
      </c>
      <c r="AD80" s="1" t="s">
        <v>0</v>
      </c>
      <c r="AF80" s="1" t="s">
        <v>1</v>
      </c>
      <c r="AG80" s="1" t="s">
        <v>0</v>
      </c>
      <c r="AL80" s="1" t="s">
        <v>1</v>
      </c>
      <c r="AM80" s="1" t="s">
        <v>0</v>
      </c>
      <c r="AO80" s="1" t="s">
        <v>1</v>
      </c>
      <c r="AP80" s="1" t="s">
        <v>0</v>
      </c>
      <c r="AR80" s="1" t="s">
        <v>1</v>
      </c>
      <c r="AS80" s="1" t="s">
        <v>0</v>
      </c>
      <c r="AU80" s="1" t="s">
        <v>1</v>
      </c>
      <c r="AV80" s="1" t="s">
        <v>0</v>
      </c>
      <c r="AX80" s="1" t="s">
        <v>1</v>
      </c>
      <c r="AY80" s="1" t="s">
        <v>0</v>
      </c>
    </row>
    <row r="81" spans="2:51" x14ac:dyDescent="0.3">
      <c r="B81" s="4">
        <f>1628869648.06557-1628869648.06002</f>
        <v>5.5501461029052734E-3</v>
      </c>
      <c r="C81" s="3">
        <f>B81*1000</f>
        <v>5.5501461029052734</v>
      </c>
      <c r="E81" s="4">
        <f>1628869648.06594-1628869648.06002</f>
        <v>5.9199333190917969E-3</v>
      </c>
      <c r="F81" s="3">
        <f>E81*1000</f>
        <v>5.9199333190917969</v>
      </c>
      <c r="H81" s="4">
        <f>1628869648.06653-1628869648.06002</f>
        <v>6.5100193023681641E-3</v>
      </c>
      <c r="I81" s="3">
        <f>H81*1000</f>
        <v>6.5100193023681641</v>
      </c>
      <c r="K81" s="4">
        <f>1628869648.06568-1628869648.06002</f>
        <v>5.6600570678710938E-3</v>
      </c>
      <c r="L81" s="3">
        <f>K81*1000</f>
        <v>5.6600570678710938</v>
      </c>
      <c r="N81" s="4">
        <f>1628869648.06629-1628869648.06002</f>
        <v>6.2699317932128906E-3</v>
      </c>
      <c r="O81" s="3">
        <f>N81*1000</f>
        <v>6.2699317932128906</v>
      </c>
      <c r="T81" s="4">
        <f>1628873560.4366-1628873560.32879</f>
        <v>0.10781002044677734</v>
      </c>
      <c r="U81" s="3">
        <f>T81*1000</f>
        <v>107.81002044677734</v>
      </c>
      <c r="W81" s="4">
        <f>1628873560.44075-1628873560.32879</f>
        <v>0.11195993423461914</v>
      </c>
      <c r="X81" s="3">
        <f>W81*1000</f>
        <v>111.95993423461914</v>
      </c>
      <c r="Z81" s="4">
        <f>1628873560.44522-1628873560.32879</f>
        <v>0.11643004417419434</v>
      </c>
      <c r="AA81" s="3">
        <f>Z81*1000</f>
        <v>116.43004417419434</v>
      </c>
      <c r="AC81" s="4">
        <f>1628873560.44948-1628873560.32879</f>
        <v>0.12069010734558105</v>
      </c>
      <c r="AD81" s="3">
        <f>AC81*1000</f>
        <v>120.69010734558105</v>
      </c>
      <c r="AF81" s="4">
        <f>1628873560.45398-1628873560.32879</f>
        <v>0.12519001960754395</v>
      </c>
      <c r="AG81" s="3">
        <f>AF81*1000</f>
        <v>125.19001960754395</v>
      </c>
      <c r="AL81" s="4">
        <f>1628875097.30958-1628875097.20454</f>
        <v>0.10504007339477539</v>
      </c>
      <c r="AM81" s="3">
        <f>AL81*1000</f>
        <v>105.04007339477539</v>
      </c>
      <c r="AO81" s="4">
        <f>1628875097.31183-1628875097.20454</f>
        <v>0.10729002952575684</v>
      </c>
      <c r="AP81" s="3">
        <f>AO81*1000</f>
        <v>107.29002952575684</v>
      </c>
      <c r="AR81" s="4">
        <f>1628875097.31515-1628875097.20454</f>
        <v>0.11061000823974609</v>
      </c>
      <c r="AS81" s="3">
        <f>AR81*1000</f>
        <v>110.61000823974609</v>
      </c>
      <c r="AU81" s="4">
        <f>1628875097.31984-1628875097.20454</f>
        <v>0.11529994010925293</v>
      </c>
      <c r="AV81" s="3">
        <f>AU81*1000</f>
        <v>115.29994010925293</v>
      </c>
      <c r="AX81" s="4">
        <f>1628875097.32355-1628875097.20454</f>
        <v>0.11900997161865234</v>
      </c>
      <c r="AY81" s="3">
        <f>AX81*1000</f>
        <v>119.00997161865234</v>
      </c>
    </row>
    <row r="82" spans="2:51" x14ac:dyDescent="0.3">
      <c r="B82" s="4">
        <f>1628869649.07289-1628869649.06764</f>
        <v>5.2499771118164063E-3</v>
      </c>
      <c r="C82" s="3">
        <f t="shared" ref="C82:C90" si="48">B82*1000</f>
        <v>5.2499771118164063</v>
      </c>
      <c r="E82" s="4">
        <f>1628869649.07403-1628869649.06764</f>
        <v>6.3898563385009766E-3</v>
      </c>
      <c r="F82" s="3">
        <f t="shared" ref="F82:F90" si="49">E82*1000</f>
        <v>6.3898563385009766</v>
      </c>
      <c r="H82" s="4">
        <f>1628869649.07362-1628869649.06764</f>
        <v>5.9800148010253906E-3</v>
      </c>
      <c r="I82" s="3">
        <f t="shared" ref="I82:I90" si="50">H82*1000</f>
        <v>5.9800148010253906</v>
      </c>
      <c r="K82" s="4">
        <f>1628869649.07314-1628869649.06764</f>
        <v>5.4998397827148438E-3</v>
      </c>
      <c r="L82" s="3">
        <f t="shared" ref="L82:L90" si="51">K82*1000</f>
        <v>5.4998397827148438</v>
      </c>
      <c r="N82" s="4">
        <f>1628869649.07326-1628869649.06764</f>
        <v>5.6200027465820313E-3</v>
      </c>
      <c r="O82" s="3">
        <f t="shared" ref="O82:O90" si="52">N82*1000</f>
        <v>5.6200027465820313</v>
      </c>
      <c r="T82" s="4">
        <f>1628873561.70457-1628873561.59871</f>
        <v>0.10585999488830566</v>
      </c>
      <c r="U82" s="3">
        <f t="shared" ref="U82:U90" si="53">T82*1000</f>
        <v>105.85999488830566</v>
      </c>
      <c r="W82" s="4">
        <f>1628873561.70908-1628873561.59871</f>
        <v>0.11036992073059082</v>
      </c>
      <c r="X82" s="3">
        <f t="shared" ref="X82:X90" si="54">W82*1000</f>
        <v>110.36992073059082</v>
      </c>
      <c r="Z82" s="4">
        <f>1628873561.71281-1628873561.59871</f>
        <v>0.11409997940063477</v>
      </c>
      <c r="AA82" s="3">
        <f t="shared" ref="AA82:AA90" si="55">Z82*1000</f>
        <v>114.09997940063477</v>
      </c>
      <c r="AC82" s="4">
        <f>1628873561.716-1628873561.59871</f>
        <v>0.11729001998901367</v>
      </c>
      <c r="AD82" s="3">
        <f t="shared" ref="AD82:AD90" si="56">AC82*1000</f>
        <v>117.29001998901367</v>
      </c>
      <c r="AF82" s="4">
        <f>1628873561.72016-1628873561.59871</f>
        <v>0.12144994735717773</v>
      </c>
      <c r="AG82" s="3">
        <f t="shared" ref="AG82:AG90" si="57">AF82*1000</f>
        <v>121.44994735717773</v>
      </c>
      <c r="AL82" s="4">
        <f>1628875098.57354-1628875098.46874</f>
        <v>0.10479998588562012</v>
      </c>
      <c r="AM82" s="3">
        <f t="shared" ref="AM82:AM90" si="58">AL82*1000</f>
        <v>104.79998588562012</v>
      </c>
      <c r="AO82" s="4">
        <f>1628875098.57716-1628875098.46874</f>
        <v>0.10841989517211914</v>
      </c>
      <c r="AP82" s="3">
        <f t="shared" ref="AP82:AP90" si="59">AO82*1000</f>
        <v>108.41989517211914</v>
      </c>
      <c r="AR82" s="4">
        <f>1628875098.58139-1628875098.46874</f>
        <v>0.11264991760253906</v>
      </c>
      <c r="AS82" s="3">
        <f t="shared" ref="AS82:AS90" si="60">AR82*1000</f>
        <v>112.64991760253906</v>
      </c>
      <c r="AU82" s="4">
        <f>1628875098.58461-1628875098.46874</f>
        <v>0.11586999893188477</v>
      </c>
      <c r="AV82" s="3">
        <f t="shared" ref="AV82:AV90" si="61">AU82*1000</f>
        <v>115.86999893188477</v>
      </c>
      <c r="AX82" s="4">
        <f>1628875098.58832-1628875098.46874</f>
        <v>0.11958003044128418</v>
      </c>
      <c r="AY82" s="3">
        <f t="shared" ref="AY82:AY90" si="62">AX82*1000</f>
        <v>119.58003044128418</v>
      </c>
    </row>
    <row r="83" spans="2:51" x14ac:dyDescent="0.3">
      <c r="B83" s="4">
        <f>1628869650.08039-1628869650.07508</f>
        <v>5.31005859375E-3</v>
      </c>
      <c r="C83" s="3">
        <f t="shared" si="48"/>
        <v>5.31005859375</v>
      </c>
      <c r="E83" s="4">
        <f>1628869650.08106-1628869650.07508</f>
        <v>5.9800148010253906E-3</v>
      </c>
      <c r="F83" s="3">
        <f t="shared" si="49"/>
        <v>5.9800148010253906</v>
      </c>
      <c r="H83" s="4">
        <f>1628869650.08142-1628869650.07508</f>
        <v>6.34002685546875E-3</v>
      </c>
      <c r="I83" s="3">
        <f t="shared" si="50"/>
        <v>6.34002685546875</v>
      </c>
      <c r="K83" s="4">
        <f>1628869650.08061-1628869650.07508</f>
        <v>5.5301189422607422E-3</v>
      </c>
      <c r="L83" s="3">
        <f t="shared" si="51"/>
        <v>5.5301189422607422</v>
      </c>
      <c r="N83" s="4">
        <f>1628869650.08073-1628869650.07508</f>
        <v>5.6500434875488281E-3</v>
      </c>
      <c r="O83" s="3">
        <f t="shared" si="52"/>
        <v>5.6500434875488281</v>
      </c>
      <c r="T83" s="4">
        <f>1628873562.95753-1628873562.87167</f>
        <v>8.5860013961791992E-2</v>
      </c>
      <c r="U83" s="3">
        <f t="shared" si="53"/>
        <v>85.860013961791992</v>
      </c>
      <c r="W83" s="4">
        <f>1628873562.95971-1628873562.87167</f>
        <v>8.8039875030517578E-2</v>
      </c>
      <c r="X83" s="3">
        <f t="shared" si="54"/>
        <v>88.039875030517578</v>
      </c>
      <c r="Z83" s="4">
        <f>1628873562.96183-1628873562.87167</f>
        <v>9.0159893035888672E-2</v>
      </c>
      <c r="AA83" s="3">
        <f t="shared" si="55"/>
        <v>90.159893035888672</v>
      </c>
      <c r="AC83" s="4">
        <f>1628873562.96396-1628873562.87167</f>
        <v>9.2289924621582031E-2</v>
      </c>
      <c r="AD83" s="3">
        <f t="shared" si="56"/>
        <v>92.289924621582031</v>
      </c>
      <c r="AF83" s="4">
        <f>1628873562.9665-1628873562.87167</f>
        <v>9.4830036163330078E-2</v>
      </c>
      <c r="AG83" s="3">
        <f t="shared" si="57"/>
        <v>94.830036163330078</v>
      </c>
      <c r="AL83" s="4">
        <f>1628875099.84415-1628875099.73556</f>
        <v>0.10859012603759766</v>
      </c>
      <c r="AM83" s="3">
        <f t="shared" si="58"/>
        <v>108.59012603759766</v>
      </c>
      <c r="AO83" s="4">
        <f>1628875099.84821-1628875099.73556</f>
        <v>0.11265015602111816</v>
      </c>
      <c r="AP83" s="3">
        <f t="shared" si="59"/>
        <v>112.65015602111816</v>
      </c>
      <c r="AR83" s="4">
        <f>1628875099.85261-1628875099.73556</f>
        <v>0.1170501708984375</v>
      </c>
      <c r="AS83" s="3">
        <f t="shared" si="60"/>
        <v>117.0501708984375</v>
      </c>
      <c r="AU83" s="4">
        <f>1628875099.857-1628875099.73556</f>
        <v>0.12144017219543457</v>
      </c>
      <c r="AV83" s="3">
        <f t="shared" si="61"/>
        <v>121.44017219543457</v>
      </c>
      <c r="AX83" s="4">
        <f>1628875099.86117-1628875099.73556</f>
        <v>0.1256101131439209</v>
      </c>
      <c r="AY83" s="3">
        <f t="shared" si="62"/>
        <v>125.6101131439209</v>
      </c>
    </row>
    <row r="84" spans="2:51" x14ac:dyDescent="0.3">
      <c r="B84" s="4">
        <f>1628869651.08771-1628869651.0824</f>
        <v>5.3098201751708984E-3</v>
      </c>
      <c r="C84" s="3">
        <f t="shared" si="48"/>
        <v>5.3098201751708984</v>
      </c>
      <c r="E84" s="4">
        <f>1628869651.08813-1628869651.0824</f>
        <v>5.7299137115478516E-3</v>
      </c>
      <c r="F84" s="3">
        <f t="shared" si="49"/>
        <v>5.7299137115478516</v>
      </c>
      <c r="H84" s="4">
        <f>1628869651.08856-1628869651.0824</f>
        <v>6.1600208282470703E-3</v>
      </c>
      <c r="I84" s="3">
        <f t="shared" si="50"/>
        <v>6.1600208282470703</v>
      </c>
      <c r="K84" s="4">
        <f>1628869651.08779-1628869651.0824</f>
        <v>5.3899288177490234E-3</v>
      </c>
      <c r="L84" s="3">
        <f t="shared" si="51"/>
        <v>5.3899288177490234</v>
      </c>
      <c r="N84" s="4">
        <f>1628869651.08804-1628869651.0824</f>
        <v>5.6400299072265625E-3</v>
      </c>
      <c r="O84" s="3">
        <f t="shared" si="52"/>
        <v>5.6400299072265625</v>
      </c>
      <c r="T84" s="4">
        <f>1628873564.18547-1628873564.07584</f>
        <v>0.10963010787963867</v>
      </c>
      <c r="U84" s="3">
        <f t="shared" si="53"/>
        <v>109.63010787963867</v>
      </c>
      <c r="W84" s="4">
        <f>1628873564.18944-1628873564.07584</f>
        <v>0.11360001564025879</v>
      </c>
      <c r="X84" s="3">
        <f t="shared" si="54"/>
        <v>113.60001564025879</v>
      </c>
      <c r="Z84" s="4">
        <f>1628873564.19424-1628873564.07584</f>
        <v>0.11840009689331055</v>
      </c>
      <c r="AA84" s="3">
        <f t="shared" si="55"/>
        <v>118.40009689331055</v>
      </c>
      <c r="AC84" s="4">
        <f>1628873564.19875-1628873564.07584</f>
        <v>0.1229100227355957</v>
      </c>
      <c r="AD84" s="3">
        <f t="shared" si="56"/>
        <v>122.9100227355957</v>
      </c>
      <c r="AF84" s="4">
        <f>1628873564.20226-1628873564.07584</f>
        <v>0.12642002105712891</v>
      </c>
      <c r="AG84" s="3">
        <f t="shared" si="57"/>
        <v>126.42002105712891</v>
      </c>
      <c r="AL84" s="4">
        <f>1628875101.10596-1628875101.00213</f>
        <v>0.10382986068725586</v>
      </c>
      <c r="AM84" s="3">
        <f t="shared" si="58"/>
        <v>103.82986068725586</v>
      </c>
      <c r="AO84" s="4">
        <f>1628875101.11006-1628875101.00213</f>
        <v>0.10792994499206543</v>
      </c>
      <c r="AP84" s="3">
        <f t="shared" si="59"/>
        <v>107.92994499206543</v>
      </c>
      <c r="AR84" s="4">
        <f>1628875101.11458-1628875101.00213</f>
        <v>0.11244988441467285</v>
      </c>
      <c r="AS84" s="3">
        <f t="shared" si="60"/>
        <v>112.44988441467285</v>
      </c>
      <c r="AU84" s="4">
        <f>1628875101.11893-1628875101.00213</f>
        <v>0.11680006980895996</v>
      </c>
      <c r="AV84" s="3">
        <f t="shared" si="61"/>
        <v>116.80006980895996</v>
      </c>
      <c r="AX84" s="4">
        <f>1628875101.12285-1628875101.00213</f>
        <v>0.12071990966796875</v>
      </c>
      <c r="AY84" s="3">
        <f t="shared" si="62"/>
        <v>120.71990966796875</v>
      </c>
    </row>
    <row r="85" spans="2:51" x14ac:dyDescent="0.3">
      <c r="B85" s="4">
        <f>1628869652.09482-1628869652.08963</f>
        <v>5.1901340484619141E-3</v>
      </c>
      <c r="C85" s="3">
        <f t="shared" si="48"/>
        <v>5.1901340484619141</v>
      </c>
      <c r="E85" s="4">
        <f>1628869652.09554-1628869652.08963</f>
        <v>5.9101581573486328E-3</v>
      </c>
      <c r="F85" s="3">
        <f t="shared" si="49"/>
        <v>5.9101581573486328</v>
      </c>
      <c r="H85" s="4">
        <f>1628869652.09513-1628869652.08963</f>
        <v>5.5000782012939453E-3</v>
      </c>
      <c r="I85" s="3">
        <f t="shared" si="50"/>
        <v>5.5000782012939453</v>
      </c>
      <c r="K85" s="4">
        <f>1628869652.09488-1628869652.08963</f>
        <v>5.2502155303955078E-3</v>
      </c>
      <c r="L85" s="3">
        <f t="shared" si="51"/>
        <v>5.2502155303955078</v>
      </c>
      <c r="N85" s="4">
        <f>1628869652.09514-1628869652.08963</f>
        <v>5.5100917816162109E-3</v>
      </c>
      <c r="O85" s="3">
        <f t="shared" si="52"/>
        <v>5.5100917816162109</v>
      </c>
      <c r="T85" s="4">
        <f>1628873565.46101-1628873565.35344</f>
        <v>0.10756993293762207</v>
      </c>
      <c r="U85" s="3">
        <f t="shared" si="53"/>
        <v>107.56993293762207</v>
      </c>
      <c r="W85" s="4">
        <f>1628873565.46431-1628873565.35344</f>
        <v>0.1108698844909668</v>
      </c>
      <c r="X85" s="3">
        <f t="shared" si="54"/>
        <v>110.8698844909668</v>
      </c>
      <c r="Z85" s="4">
        <f>1628873565.4677-1628873565.35344</f>
        <v>0.11425995826721191</v>
      </c>
      <c r="AA85" s="3">
        <f t="shared" si="55"/>
        <v>114.25995826721191</v>
      </c>
      <c r="AC85" s="4">
        <f>1628873565.47195-1628873565.35344</f>
        <v>0.11851000785827637</v>
      </c>
      <c r="AD85" s="3">
        <f t="shared" si="56"/>
        <v>118.51000785827637</v>
      </c>
      <c r="AF85" s="4">
        <f>1628873565.47663-1628873565.35344</f>
        <v>0.12318992614746094</v>
      </c>
      <c r="AG85" s="3">
        <f t="shared" si="57"/>
        <v>123.18992614746094</v>
      </c>
      <c r="AL85" s="4">
        <f>1628875102.3785-1628875102.26671</f>
        <v>0.11178994178771973</v>
      </c>
      <c r="AM85" s="3">
        <f t="shared" si="58"/>
        <v>111.78994178771973</v>
      </c>
      <c r="AO85" s="4">
        <f>1628875102.38176-1628875102.26671</f>
        <v>0.11504983901977539</v>
      </c>
      <c r="AP85" s="3">
        <f t="shared" si="59"/>
        <v>115.04983901977539</v>
      </c>
      <c r="AR85" s="4">
        <f>1628875102.38626-1628875102.26671</f>
        <v>0.11954998970031738</v>
      </c>
      <c r="AS85" s="3">
        <f t="shared" si="60"/>
        <v>119.54998970031738</v>
      </c>
      <c r="AU85" s="4">
        <f>1628875102.39057-1628875102.26671</f>
        <v>0.12385988235473633</v>
      </c>
      <c r="AV85" s="3">
        <f t="shared" si="61"/>
        <v>123.85988235473633</v>
      </c>
      <c r="AX85" s="4">
        <f>1628875102.39463-1628875102.26671</f>
        <v>0.12791991233825684</v>
      </c>
      <c r="AY85" s="3">
        <f t="shared" si="62"/>
        <v>127.91991233825684</v>
      </c>
    </row>
    <row r="86" spans="2:51" x14ac:dyDescent="0.3">
      <c r="B86" s="4">
        <f>1628869653.10139-1628869653.09703</f>
        <v>4.3599605560302734E-3</v>
      </c>
      <c r="C86" s="3">
        <f t="shared" si="48"/>
        <v>4.3599605560302734</v>
      </c>
      <c r="E86" s="4">
        <f>1628869653.10149-1628869653.09703</f>
        <v>4.4600963592529297E-3</v>
      </c>
      <c r="F86" s="3">
        <f t="shared" si="49"/>
        <v>4.4600963592529297</v>
      </c>
      <c r="H86" s="4">
        <f>1628869653.10201-1628869653.09703</f>
        <v>4.9800872802734375E-3</v>
      </c>
      <c r="I86" s="3">
        <f t="shared" si="50"/>
        <v>4.9800872802734375</v>
      </c>
      <c r="K86" s="4">
        <f>1628869653.10144-1628869653.09703</f>
        <v>4.4100284576416016E-3</v>
      </c>
      <c r="L86" s="3">
        <f t="shared" si="51"/>
        <v>4.4100284576416016</v>
      </c>
      <c r="N86" s="4">
        <f>1628869653.10175-1628869653.09703</f>
        <v>4.7199726104736328E-3</v>
      </c>
      <c r="O86" s="3">
        <f t="shared" si="52"/>
        <v>4.7199726104736328</v>
      </c>
      <c r="T86" s="4">
        <f>1628873566.72913-1628873566.62751</f>
        <v>0.10161995887756348</v>
      </c>
      <c r="U86" s="3">
        <f t="shared" si="53"/>
        <v>101.61995887756348</v>
      </c>
      <c r="W86" s="4">
        <f>1628873566.7326-1628873566.62751</f>
        <v>0.10508990287780762</v>
      </c>
      <c r="X86" s="3">
        <f t="shared" si="54"/>
        <v>105.08990287780762</v>
      </c>
      <c r="Z86" s="4">
        <f>1628873566.73652-1628873566.62751</f>
        <v>0.10900998115539551</v>
      </c>
      <c r="AA86" s="3">
        <f t="shared" si="55"/>
        <v>109.00998115539551</v>
      </c>
      <c r="AC86" s="4">
        <f>1628873566.74049-1628873566.62751</f>
        <v>0.11297988891601563</v>
      </c>
      <c r="AD86" s="3">
        <f t="shared" si="56"/>
        <v>112.97988891601563</v>
      </c>
      <c r="AF86" s="4">
        <f>1628873566.7445-1628873566.62751</f>
        <v>0.1169898509979248</v>
      </c>
      <c r="AG86" s="3">
        <f t="shared" si="57"/>
        <v>116.9898509979248</v>
      </c>
      <c r="AL86" s="4">
        <f>1628875103.64477-1628875103.5344</f>
        <v>0.11036992073059082</v>
      </c>
      <c r="AM86" s="3">
        <f t="shared" si="58"/>
        <v>110.36992073059082</v>
      </c>
      <c r="AO86" s="4">
        <f>1628875103.64878-1628875103.5344</f>
        <v>0.1143801212310791</v>
      </c>
      <c r="AP86" s="3">
        <f t="shared" si="59"/>
        <v>114.3801212310791</v>
      </c>
      <c r="AR86" s="4">
        <f>1628875103.65317-1628875103.5344</f>
        <v>0.11877012252807617</v>
      </c>
      <c r="AS86" s="3">
        <f t="shared" si="60"/>
        <v>118.77012252807617</v>
      </c>
      <c r="AU86" s="4">
        <f>1628875103.6573-1628875103.5344</f>
        <v>0.12290000915527344</v>
      </c>
      <c r="AV86" s="3">
        <f t="shared" si="61"/>
        <v>122.90000915527344</v>
      </c>
      <c r="AX86" s="4">
        <f>1628875103.66161-1628875103.5344</f>
        <v>0.12720990180969238</v>
      </c>
      <c r="AY86" s="3">
        <f t="shared" si="62"/>
        <v>127.20990180969238</v>
      </c>
    </row>
    <row r="87" spans="2:51" x14ac:dyDescent="0.3">
      <c r="B87" s="4">
        <f>1628869654.10865-1628869654.10327</f>
        <v>5.3799152374267578E-3</v>
      </c>
      <c r="C87" s="3">
        <f t="shared" si="48"/>
        <v>5.3799152374267578</v>
      </c>
      <c r="E87" s="4">
        <f>1628869654.10859-1628869654.10327</f>
        <v>5.3198337554931641E-3</v>
      </c>
      <c r="F87" s="3">
        <f t="shared" si="49"/>
        <v>5.3198337554931641</v>
      </c>
      <c r="H87" s="4">
        <f>1628869654.10897-1628869654.10327</f>
        <v>5.6998729705810547E-3</v>
      </c>
      <c r="I87" s="3">
        <f t="shared" si="50"/>
        <v>5.6998729705810547</v>
      </c>
      <c r="K87" s="4">
        <f>1628869654.10859-1628869654.10327</f>
        <v>5.3198337554931641E-3</v>
      </c>
      <c r="L87" s="3">
        <f t="shared" si="51"/>
        <v>5.3198337554931641</v>
      </c>
      <c r="N87" s="4">
        <f>1628869654.10893-1628869654.10327</f>
        <v>5.6600570678710938E-3</v>
      </c>
      <c r="O87" s="3">
        <f t="shared" si="52"/>
        <v>5.6600570678710938</v>
      </c>
      <c r="T87" s="4">
        <f>1628873567.9969-1628873567.88822</f>
        <v>0.10868000984191895</v>
      </c>
      <c r="U87" s="3">
        <f t="shared" si="53"/>
        <v>108.68000984191895</v>
      </c>
      <c r="W87" s="4">
        <f>1628873568.00113-1628873567.88822</f>
        <v>0.11291003227233887</v>
      </c>
      <c r="X87" s="3">
        <f t="shared" si="54"/>
        <v>112.91003227233887</v>
      </c>
      <c r="Z87" s="4">
        <f>1628873568.00537-1628873567.88822</f>
        <v>0.11714982986450195</v>
      </c>
      <c r="AA87" s="3">
        <f t="shared" si="55"/>
        <v>117.14982986450195</v>
      </c>
      <c r="AC87" s="4">
        <f>1628873568.00957-1628873567.88822</f>
        <v>0.12134981155395508</v>
      </c>
      <c r="AD87" s="3">
        <f t="shared" si="56"/>
        <v>121.34981155395508</v>
      </c>
      <c r="AF87" s="4">
        <f>1628873568.01385-1628873567.88822</f>
        <v>0.12562990188598633</v>
      </c>
      <c r="AG87" s="3">
        <f t="shared" si="57"/>
        <v>125.62990188598633</v>
      </c>
      <c r="AL87" s="4">
        <f>1628875104.9219-1628875104.81043</f>
        <v>0.11146998405456543</v>
      </c>
      <c r="AM87" s="3">
        <f t="shared" si="58"/>
        <v>111.46998405456543</v>
      </c>
      <c r="AO87" s="4">
        <f>1628875104.92584-1628875104.81043</f>
        <v>0.11540985107421875</v>
      </c>
      <c r="AP87" s="3">
        <f t="shared" si="59"/>
        <v>115.40985107421875</v>
      </c>
      <c r="AR87" s="4">
        <f>1628875104.92931-1628875104.81043</f>
        <v>0.11888003349304199</v>
      </c>
      <c r="AS87" s="3">
        <f t="shared" si="60"/>
        <v>118.88003349304199</v>
      </c>
      <c r="AU87" s="4">
        <f>1628875104.93342-1628875104.81043</f>
        <v>0.12298989295959473</v>
      </c>
      <c r="AV87" s="3">
        <f t="shared" si="61"/>
        <v>122.98989295959473</v>
      </c>
      <c r="AX87" s="4">
        <f>1628875104.93703-1628875104.81043</f>
        <v>0.12660002708435059</v>
      </c>
      <c r="AY87" s="3">
        <f t="shared" si="62"/>
        <v>126.60002708435059</v>
      </c>
    </row>
    <row r="88" spans="2:51" x14ac:dyDescent="0.3">
      <c r="B88" s="4">
        <f>1628869655.11583-1628869655.11052</f>
        <v>5.31005859375E-3</v>
      </c>
      <c r="C88" s="3">
        <f t="shared" si="48"/>
        <v>5.31005859375</v>
      </c>
      <c r="E88" s="4">
        <f>1628869655.11623-1628869655.11052</f>
        <v>5.7101249694824219E-3</v>
      </c>
      <c r="F88" s="3">
        <f t="shared" si="49"/>
        <v>5.7101249694824219</v>
      </c>
      <c r="H88" s="4">
        <f>1628869655.11579-1628869655.11052</f>
        <v>5.2700042724609375E-3</v>
      </c>
      <c r="I88" s="3">
        <f t="shared" si="50"/>
        <v>5.2700042724609375</v>
      </c>
      <c r="K88" s="4">
        <f>1628869655.11607-1628869655.11052</f>
        <v>5.5501461029052734E-3</v>
      </c>
      <c r="L88" s="3">
        <f t="shared" si="51"/>
        <v>5.5501461029052734</v>
      </c>
      <c r="N88" s="4">
        <f>1628869655.11609-1628869655.11052</f>
        <v>5.5701732635498047E-3</v>
      </c>
      <c r="O88" s="3">
        <f t="shared" si="52"/>
        <v>5.5701732635498047</v>
      </c>
      <c r="T88" s="4">
        <f>1628873569.2629-1628873569.15379</f>
        <v>0.10911011695861816</v>
      </c>
      <c r="U88" s="3">
        <f t="shared" si="53"/>
        <v>109.11011695861816</v>
      </c>
      <c r="W88" s="4">
        <f>1628873569.26731-1628873569.15379</f>
        <v>0.11351990699768066</v>
      </c>
      <c r="X88" s="3">
        <f t="shared" si="54"/>
        <v>113.51990699768066</v>
      </c>
      <c r="Z88" s="4">
        <f>1628873569.27168-1628873569.15379</f>
        <v>0.1178901195526123</v>
      </c>
      <c r="AA88" s="3">
        <f t="shared" si="55"/>
        <v>117.8901195526123</v>
      </c>
      <c r="AC88" s="4">
        <f>1628873569.27486-1628873569.15379</f>
        <v>0.12106990814208984</v>
      </c>
      <c r="AD88" s="3">
        <f t="shared" si="56"/>
        <v>121.06990814208984</v>
      </c>
      <c r="AF88" s="4">
        <f>1628873569.27894-1628873569.15379</f>
        <v>0.12514996528625488</v>
      </c>
      <c r="AG88" s="3">
        <f t="shared" si="57"/>
        <v>125.14996528625488</v>
      </c>
      <c r="AL88" s="4">
        <f>1628875106.18026-1628875106.07662</f>
        <v>0.10363984107971191</v>
      </c>
      <c r="AM88" s="3">
        <f t="shared" si="58"/>
        <v>103.63984107971191</v>
      </c>
      <c r="AO88" s="4">
        <f>1628875106.18404-1628875106.07662</f>
        <v>0.10741996765136719</v>
      </c>
      <c r="AP88" s="3">
        <f t="shared" si="59"/>
        <v>107.41996765136719</v>
      </c>
      <c r="AR88" s="4">
        <f>1628875106.18781-1628875106.07662</f>
        <v>0.11118984222412109</v>
      </c>
      <c r="AS88" s="3">
        <f t="shared" si="60"/>
        <v>111.18984222412109</v>
      </c>
      <c r="AU88" s="4">
        <f>1628875106.1921-1628875106.07662</f>
        <v>0.11547994613647461</v>
      </c>
      <c r="AV88" s="3">
        <f t="shared" si="61"/>
        <v>115.47994613647461</v>
      </c>
      <c r="AX88" s="4">
        <f>1628875106.19601-1628875106.07662</f>
        <v>0.11939001083374023</v>
      </c>
      <c r="AY88" s="3">
        <f t="shared" si="62"/>
        <v>119.39001083374023</v>
      </c>
    </row>
    <row r="89" spans="2:51" x14ac:dyDescent="0.3">
      <c r="B89" s="4">
        <f>1628869656.12316-1628869656.11783</f>
        <v>5.3298473358154297E-3</v>
      </c>
      <c r="C89" s="3">
        <f t="shared" si="48"/>
        <v>5.3298473358154297</v>
      </c>
      <c r="E89" s="4">
        <f>1628869656.12339-1628869656.11783</f>
        <v>5.5599212646484375E-3</v>
      </c>
      <c r="F89" s="3">
        <f t="shared" si="49"/>
        <v>5.5599212646484375</v>
      </c>
      <c r="H89" s="4">
        <f>1628869656.12311-1628869656.11783</f>
        <v>5.2800178527832031E-3</v>
      </c>
      <c r="I89" s="3">
        <f t="shared" si="50"/>
        <v>5.2800178527832031</v>
      </c>
      <c r="K89" s="4">
        <f>1628869656.12344-1628869656.11783</f>
        <v>5.6099891662597656E-3</v>
      </c>
      <c r="L89" s="3">
        <f t="shared" si="51"/>
        <v>5.6099891662597656</v>
      </c>
      <c r="N89" s="4">
        <f>1628869656.12339-1628869656.11783</f>
        <v>5.5599212646484375E-3</v>
      </c>
      <c r="O89" s="3">
        <f t="shared" si="52"/>
        <v>5.5599212646484375</v>
      </c>
      <c r="T89" s="4">
        <f>1628873570.53098-1628873570.42245</f>
        <v>0.10853004455566406</v>
      </c>
      <c r="U89" s="3">
        <f t="shared" si="53"/>
        <v>108.53004455566406</v>
      </c>
      <c r="W89" s="4">
        <f>1628873570.53456-1628873570.42245</f>
        <v>0.11210989952087402</v>
      </c>
      <c r="X89" s="3">
        <f t="shared" si="54"/>
        <v>112.10989952087402</v>
      </c>
      <c r="Z89" s="4">
        <f>1628873570.53919-1628873570.42245</f>
        <v>0.11673998832702637</v>
      </c>
      <c r="AA89" s="3">
        <f t="shared" si="55"/>
        <v>116.73998832702637</v>
      </c>
      <c r="AC89" s="4">
        <f>1628873570.54336-1628873570.42245</f>
        <v>0.1209099292755127</v>
      </c>
      <c r="AD89" s="3">
        <f t="shared" si="56"/>
        <v>120.9099292755127</v>
      </c>
      <c r="AF89" s="4">
        <f>1628873570.54748-1628873570.42245</f>
        <v>0.1250300407409668</v>
      </c>
      <c r="AG89" s="3">
        <f t="shared" si="57"/>
        <v>125.0300407409668</v>
      </c>
      <c r="AL89" s="4">
        <f>1628875107.45183-1628875107.34241</f>
        <v>0.10941982269287109</v>
      </c>
      <c r="AM89" s="3">
        <f t="shared" si="58"/>
        <v>109.41982269287109</v>
      </c>
      <c r="AO89" s="4">
        <f>1628875107.45493-1628875107.34241</f>
        <v>0.11251997947692871</v>
      </c>
      <c r="AP89" s="3">
        <f t="shared" si="59"/>
        <v>112.51997947692871</v>
      </c>
      <c r="AR89" s="4">
        <f>1628875107.45835-1628875107.34241</f>
        <v>0.11593985557556152</v>
      </c>
      <c r="AS89" s="3">
        <f t="shared" si="60"/>
        <v>115.93985557556152</v>
      </c>
      <c r="AU89" s="4">
        <f>1628875107.46291-1628875107.34241</f>
        <v>0.12049984931945801</v>
      </c>
      <c r="AV89" s="3">
        <f t="shared" si="61"/>
        <v>120.49984931945801</v>
      </c>
      <c r="AX89" s="4">
        <f>1628875107.46668-1628875107.34241</f>
        <v>0.12426996231079102</v>
      </c>
      <c r="AY89" s="3">
        <f t="shared" si="62"/>
        <v>124.26996231079102</v>
      </c>
    </row>
    <row r="90" spans="2:51" x14ac:dyDescent="0.3">
      <c r="B90" s="4">
        <f>1628869657.13026-1628869657.12504</f>
        <v>5.2199363708496094E-3</v>
      </c>
      <c r="C90" s="3">
        <f t="shared" si="48"/>
        <v>5.2199363708496094</v>
      </c>
      <c r="E90" s="4">
        <f>1628869657.13062-1628869657.12504</f>
        <v>5.5799484252929688E-3</v>
      </c>
      <c r="F90" s="3">
        <f t="shared" si="49"/>
        <v>5.5799484252929688</v>
      </c>
      <c r="H90" s="4">
        <f>1628869657.13027-1628869657.12504</f>
        <v>5.229949951171875E-3</v>
      </c>
      <c r="I90" s="3">
        <f t="shared" si="50"/>
        <v>5.229949951171875</v>
      </c>
      <c r="K90" s="4">
        <f>1628869657.1318-1628869657.12504</f>
        <v>6.7598819732666016E-3</v>
      </c>
      <c r="L90" s="3">
        <f t="shared" si="51"/>
        <v>6.7598819732666016</v>
      </c>
      <c r="N90" s="4">
        <f>1628869657.13405-1628869657.12504</f>
        <v>9.0098381042480469E-3</v>
      </c>
      <c r="O90" s="3">
        <f t="shared" si="52"/>
        <v>9.0098381042480469</v>
      </c>
      <c r="T90" s="4">
        <f>1628873571.79966-1628873571.69399</f>
        <v>0.10566997528076172</v>
      </c>
      <c r="U90" s="3">
        <f t="shared" si="53"/>
        <v>105.66997528076172</v>
      </c>
      <c r="W90" s="4">
        <f>1628873571.80272-1628873571.69399</f>
        <v>0.10873007774353027</v>
      </c>
      <c r="X90" s="3">
        <f t="shared" si="54"/>
        <v>108.73007774353027</v>
      </c>
      <c r="Z90" s="4">
        <f>1628873571.80461-1628873571.69399</f>
        <v>0.11062002182006836</v>
      </c>
      <c r="AA90" s="3">
        <f t="shared" si="55"/>
        <v>110.62002182006836</v>
      </c>
      <c r="AC90" s="4">
        <f>1628873571.80851-1628873571.69399</f>
        <v>0.11452007293701172</v>
      </c>
      <c r="AD90" s="3">
        <f t="shared" si="56"/>
        <v>114.52007293701172</v>
      </c>
      <c r="AF90" s="4">
        <f>1628873571.81171-1628873571.69399</f>
        <v>0.11771988868713379</v>
      </c>
      <c r="AG90" s="3">
        <f t="shared" si="57"/>
        <v>117.71988868713379</v>
      </c>
      <c r="AL90" s="4">
        <f>1628875108.71298-1628875108.6092</f>
        <v>0.10378003120422363</v>
      </c>
      <c r="AM90" s="3">
        <f t="shared" si="58"/>
        <v>103.78003120422363</v>
      </c>
      <c r="AO90" s="4">
        <f>1628875108.71684-1628875108.6092</f>
        <v>0.10764002799987793</v>
      </c>
      <c r="AP90" s="3">
        <f t="shared" si="59"/>
        <v>107.64002799987793</v>
      </c>
      <c r="AR90" s="4">
        <f>1628875108.72141-1628875108.6092</f>
        <v>0.11221003532409668</v>
      </c>
      <c r="AS90" s="3">
        <f t="shared" si="60"/>
        <v>112.21003532409668</v>
      </c>
      <c r="AU90" s="4">
        <f>1628875108.7256-1628875108.6092</f>
        <v>0.11640000343322754</v>
      </c>
      <c r="AV90" s="3">
        <f t="shared" si="61"/>
        <v>116.40000343322754</v>
      </c>
      <c r="AX90" s="4">
        <f>1628875108.72967-1628875108.6092</f>
        <v>0.12047004699707031</v>
      </c>
      <c r="AY90" s="3">
        <f t="shared" si="62"/>
        <v>120.47004699707031</v>
      </c>
    </row>
    <row r="91" spans="2:51" x14ac:dyDescent="0.3">
      <c r="C91" s="2">
        <f>AVERAGE(C81:C90)</f>
        <v>5.2209854125976563</v>
      </c>
      <c r="F91" s="2">
        <f>AVERAGE(F81:F90)</f>
        <v>5.655980110168457</v>
      </c>
      <c r="I91" s="2">
        <f>AVERAGE(I81:I90)</f>
        <v>5.6950092315673828</v>
      </c>
      <c r="L91" s="2">
        <f>AVERAGE(L81:L90)</f>
        <v>5.4980039596557617</v>
      </c>
      <c r="O91" s="2">
        <f>AVERAGE(O81:O90)</f>
        <v>5.9210062026977539</v>
      </c>
      <c r="U91" s="2">
        <f>AVERAGE(U81:U90)</f>
        <v>105.03401756286621</v>
      </c>
      <c r="X91" s="2">
        <f>AVERAGE(X81:X90)</f>
        <v>108.71994495391846</v>
      </c>
      <c r="AA91" s="2">
        <f>AVERAGE(AA81:AA90)</f>
        <v>112.47599124908447</v>
      </c>
      <c r="AD91" s="2">
        <f>AVERAGE(AD81:AD90)</f>
        <v>116.25196933746338</v>
      </c>
      <c r="AG91" s="2">
        <f>AVERAGE(AG81:AG90)</f>
        <v>120.15995979309082</v>
      </c>
      <c r="AM91" s="2">
        <f>AVERAGE(AM81:AM90)</f>
        <v>107.27295875549316</v>
      </c>
      <c r="AP91" s="2">
        <f>AVERAGE(AP81:AP90)</f>
        <v>110.87098121643066</v>
      </c>
      <c r="AS91" s="2">
        <f>AVERAGE(AS81:AS90)</f>
        <v>114.92998600006104</v>
      </c>
      <c r="AV91" s="2">
        <f>AVERAGE(AV81:AV90)</f>
        <v>119.15397644042969</v>
      </c>
      <c r="AY91" s="2">
        <f>AVERAGE(AY81:AY90)</f>
        <v>123.07798862457275</v>
      </c>
    </row>
    <row r="93" spans="2:51" x14ac:dyDescent="0.3">
      <c r="B93" s="6" t="s">
        <v>27</v>
      </c>
      <c r="C93" s="6"/>
      <c r="E93" s="6" t="s">
        <v>28</v>
      </c>
      <c r="F93" s="6"/>
      <c r="H93" s="6" t="s">
        <v>29</v>
      </c>
      <c r="I93" s="6"/>
      <c r="K93" s="6" t="s">
        <v>30</v>
      </c>
      <c r="L93" s="6"/>
      <c r="N93" s="6" t="s">
        <v>31</v>
      </c>
      <c r="O93" s="6"/>
      <c r="T93" s="6" t="s">
        <v>27</v>
      </c>
      <c r="U93" s="6"/>
      <c r="W93" s="6" t="s">
        <v>28</v>
      </c>
      <c r="X93" s="6"/>
      <c r="Z93" s="6" t="s">
        <v>29</v>
      </c>
      <c r="AA93" s="6"/>
      <c r="AC93" s="6" t="s">
        <v>30</v>
      </c>
      <c r="AD93" s="6"/>
      <c r="AF93" s="6" t="s">
        <v>31</v>
      </c>
      <c r="AG93" s="6"/>
      <c r="AL93" s="6" t="s">
        <v>27</v>
      </c>
      <c r="AM93" s="6"/>
      <c r="AO93" s="6" t="s">
        <v>28</v>
      </c>
      <c r="AP93" s="6"/>
      <c r="AR93" s="6" t="s">
        <v>29</v>
      </c>
      <c r="AS93" s="6"/>
      <c r="AU93" s="6" t="s">
        <v>30</v>
      </c>
      <c r="AV93" s="6"/>
      <c r="AX93" s="6" t="s">
        <v>31</v>
      </c>
      <c r="AY93" s="6"/>
    </row>
    <row r="94" spans="2:51" ht="30.6" customHeight="1" x14ac:dyDescent="0.3">
      <c r="B94" s="8" t="s">
        <v>2</v>
      </c>
      <c r="C94" s="8"/>
      <c r="E94" s="8" t="s">
        <v>2</v>
      </c>
      <c r="F94" s="8"/>
      <c r="H94" s="8" t="s">
        <v>2</v>
      </c>
      <c r="I94" s="8"/>
      <c r="K94" s="8" t="s">
        <v>2</v>
      </c>
      <c r="L94" s="8"/>
      <c r="N94" s="8" t="s">
        <v>2</v>
      </c>
      <c r="O94" s="8"/>
      <c r="T94" s="8" t="s">
        <v>62</v>
      </c>
      <c r="U94" s="8"/>
      <c r="W94" s="8" t="s">
        <v>62</v>
      </c>
      <c r="X94" s="8"/>
      <c r="Z94" s="8" t="s">
        <v>62</v>
      </c>
      <c r="AA94" s="8"/>
      <c r="AC94" s="8" t="s">
        <v>62</v>
      </c>
      <c r="AD94" s="8"/>
      <c r="AF94" s="8" t="s">
        <v>62</v>
      </c>
      <c r="AG94" s="8"/>
      <c r="AL94" s="8" t="s">
        <v>63</v>
      </c>
      <c r="AM94" s="8"/>
      <c r="AO94" s="8" t="s">
        <v>63</v>
      </c>
      <c r="AP94" s="8"/>
      <c r="AR94" s="8" t="s">
        <v>63</v>
      </c>
      <c r="AS94" s="8"/>
      <c r="AU94" s="8" t="s">
        <v>63</v>
      </c>
      <c r="AV94" s="8"/>
      <c r="AX94" s="8" t="s">
        <v>63</v>
      </c>
      <c r="AY94" s="8"/>
    </row>
    <row r="95" spans="2:51" x14ac:dyDescent="0.3">
      <c r="B95" s="1" t="s">
        <v>1</v>
      </c>
      <c r="C95" s="1" t="s">
        <v>0</v>
      </c>
      <c r="E95" s="1" t="s">
        <v>1</v>
      </c>
      <c r="F95" s="1" t="s">
        <v>0</v>
      </c>
      <c r="H95" s="1" t="s">
        <v>1</v>
      </c>
      <c r="I95" s="1" t="s">
        <v>0</v>
      </c>
      <c r="K95" s="1" t="s">
        <v>1</v>
      </c>
      <c r="L95" s="1" t="s">
        <v>0</v>
      </c>
      <c r="N95" s="1" t="s">
        <v>1</v>
      </c>
      <c r="O95" s="1" t="s">
        <v>0</v>
      </c>
      <c r="T95" s="1" t="s">
        <v>1</v>
      </c>
      <c r="U95" s="1" t="s">
        <v>0</v>
      </c>
      <c r="W95" s="1" t="s">
        <v>1</v>
      </c>
      <c r="X95" s="1" t="s">
        <v>0</v>
      </c>
      <c r="Z95" s="1" t="s">
        <v>1</v>
      </c>
      <c r="AA95" s="1" t="s">
        <v>0</v>
      </c>
      <c r="AC95" s="1" t="s">
        <v>1</v>
      </c>
      <c r="AD95" s="1" t="s">
        <v>0</v>
      </c>
      <c r="AF95" s="1" t="s">
        <v>1</v>
      </c>
      <c r="AG95" s="1" t="s">
        <v>0</v>
      </c>
      <c r="AL95" s="1" t="s">
        <v>1</v>
      </c>
      <c r="AM95" s="1" t="s">
        <v>0</v>
      </c>
      <c r="AO95" s="1" t="s">
        <v>1</v>
      </c>
      <c r="AP95" s="1" t="s">
        <v>0</v>
      </c>
      <c r="AR95" s="1" t="s">
        <v>1</v>
      </c>
      <c r="AS95" s="1" t="s">
        <v>0</v>
      </c>
      <c r="AU95" s="1" t="s">
        <v>1</v>
      </c>
      <c r="AV95" s="1" t="s">
        <v>0</v>
      </c>
      <c r="AX95" s="1" t="s">
        <v>1</v>
      </c>
      <c r="AY95" s="1" t="s">
        <v>0</v>
      </c>
    </row>
    <row r="96" spans="2:51" x14ac:dyDescent="0.3">
      <c r="B96" s="4">
        <f>1628869648.06527-1628869648.06002</f>
        <v>5.2499771118164063E-3</v>
      </c>
      <c r="C96" s="3">
        <f>B96*1000</f>
        <v>5.2499771118164063</v>
      </c>
      <c r="E96" s="4">
        <f>1628869648.06527-1628869648.06002</f>
        <v>5.2499771118164063E-3</v>
      </c>
      <c r="F96" s="3">
        <f>E96*1000</f>
        <v>5.2499771118164063</v>
      </c>
      <c r="H96" s="4">
        <f>1628869648.06574-1628869648.06002</f>
        <v>5.7201385498046875E-3</v>
      </c>
      <c r="I96" s="3">
        <f>H96*1000</f>
        <v>5.7201385498046875</v>
      </c>
      <c r="K96" s="4">
        <f>1628869648.06546-1628869648.06002</f>
        <v>5.4399967193603516E-3</v>
      </c>
      <c r="L96" s="3">
        <f>K96*1000</f>
        <v>5.4399967193603516</v>
      </c>
      <c r="N96" s="4">
        <f>1628869648.06608-1628869648.06002</f>
        <v>6.0601234436035156E-3</v>
      </c>
      <c r="O96" s="3">
        <f>N96*1000</f>
        <v>6.0601234436035156</v>
      </c>
      <c r="T96" s="4">
        <f>1628873560.45624-1628873560.32879</f>
        <v>0.12744998931884766</v>
      </c>
      <c r="U96" s="3">
        <f>T96*1000</f>
        <v>127.44998931884766</v>
      </c>
      <c r="W96" s="4">
        <f>1628873560.46034-1628873560.32879</f>
        <v>0.13155007362365723</v>
      </c>
      <c r="X96" s="3">
        <f>W96*1000</f>
        <v>131.55007362365723</v>
      </c>
      <c r="Z96" s="4">
        <f>1628873560.4647-1628873560.32879</f>
        <v>0.1359100341796875</v>
      </c>
      <c r="AA96" s="3">
        <f>Z96*1000</f>
        <v>135.9100341796875</v>
      </c>
      <c r="AC96" s="4">
        <f>1628873560.46886-1628873560.32879</f>
        <v>0.14006996154785156</v>
      </c>
      <c r="AD96" s="3">
        <f>AC96*1000</f>
        <v>140.06996154785156</v>
      </c>
      <c r="AF96" s="4">
        <f>1628873560.47303-1628873560.32879</f>
        <v>0.14424014091491699</v>
      </c>
      <c r="AG96" s="3">
        <f>AF96*1000</f>
        <v>144.24014091491699</v>
      </c>
      <c r="AL96" s="4">
        <f>1628875097.33047-1628875097.20454</f>
        <v>0.1259300708770752</v>
      </c>
      <c r="AM96" s="3">
        <f>AL96*1000</f>
        <v>125.9300708770752</v>
      </c>
      <c r="AO96" s="4">
        <f>1628875097.33437-1628875097.20454</f>
        <v>0.12982988357543945</v>
      </c>
      <c r="AP96" s="3">
        <f>AO96*1000</f>
        <v>129.82988357543945</v>
      </c>
      <c r="AR96" s="4">
        <f>1628875097.33918-1628875097.20454</f>
        <v>0.13463997840881348</v>
      </c>
      <c r="AS96" s="3">
        <f>AR96*1000</f>
        <v>134.63997840881348</v>
      </c>
      <c r="AU96" s="4">
        <f>1628875097.34347-1628875097.20454</f>
        <v>0.13893008232116699</v>
      </c>
      <c r="AV96" s="3">
        <f>AU96*1000</f>
        <v>138.93008232116699</v>
      </c>
      <c r="AX96" s="4">
        <f>1628875097.3473-1628875097.20454</f>
        <v>0.14276003837585449</v>
      </c>
      <c r="AY96" s="3">
        <f>AX96*1000</f>
        <v>142.76003837585449</v>
      </c>
    </row>
    <row r="97" spans="2:51" x14ac:dyDescent="0.3">
      <c r="B97" s="4">
        <f>1628869649.07266-1628869649.06764</f>
        <v>5.0199031829833984E-3</v>
      </c>
      <c r="C97" s="3">
        <f t="shared" ref="C97:C105" si="63">B97*1000</f>
        <v>5.0199031829833984</v>
      </c>
      <c r="E97" s="4">
        <f>1628869649.07266-1628869649.06764</f>
        <v>5.0199031829833984E-3</v>
      </c>
      <c r="F97" s="3">
        <f t="shared" ref="F97:F105" si="64">E97*1000</f>
        <v>5.0199031829833984</v>
      </c>
      <c r="H97" s="4">
        <f>1628869649.07319-1628869649.06764</f>
        <v>5.5499076843261719E-3</v>
      </c>
      <c r="I97" s="3">
        <f t="shared" ref="I97:I105" si="65">H97*1000</f>
        <v>5.5499076843261719</v>
      </c>
      <c r="K97" s="4">
        <f>1628869649.07284-1628869649.06764</f>
        <v>5.1999092102050781E-3</v>
      </c>
      <c r="L97" s="3">
        <f t="shared" ref="L97:L105" si="66">K97*1000</f>
        <v>5.1999092102050781</v>
      </c>
      <c r="N97" s="4">
        <f>1628869649.07356-1628869649.06764</f>
        <v>5.9199333190917969E-3</v>
      </c>
      <c r="O97" s="3">
        <f t="shared" ref="O97:O105" si="67">N97*1000</f>
        <v>5.9199333190917969</v>
      </c>
      <c r="T97" s="4">
        <f>1628873561.72245-1628873561.59871</f>
        <v>0.12373995780944824</v>
      </c>
      <c r="U97" s="3">
        <f t="shared" ref="U97:U105" si="68">T97*1000</f>
        <v>123.73995780944824</v>
      </c>
      <c r="W97" s="4">
        <f>1628873561.72723-1628873561.59871</f>
        <v>0.12852001190185547</v>
      </c>
      <c r="X97" s="3">
        <f t="shared" ref="X97:X105" si="69">W97*1000</f>
        <v>128.52001190185547</v>
      </c>
      <c r="Z97" s="4">
        <f>1628873561.73156-1628873561.59871</f>
        <v>0.13284993171691895</v>
      </c>
      <c r="AA97" s="3">
        <f t="shared" ref="AA97:AA105" si="70">Z97*1000</f>
        <v>132.84993171691895</v>
      </c>
      <c r="AC97" s="4">
        <f>1628873561.73611-1628873561.59871</f>
        <v>0.13739991188049316</v>
      </c>
      <c r="AD97" s="3">
        <f t="shared" ref="AD97:AD105" si="71">AC97*1000</f>
        <v>137.39991188049316</v>
      </c>
      <c r="AF97" s="4">
        <f>1628873561.74039-1628873561.59871</f>
        <v>0.14168000221252441</v>
      </c>
      <c r="AG97" s="3">
        <f t="shared" ref="AG97:AG105" si="72">AF97*1000</f>
        <v>141.68000221252441</v>
      </c>
      <c r="AL97" s="4">
        <f>1628875098.59511-1628875098.46874</f>
        <v>0.12636995315551758</v>
      </c>
      <c r="AM97" s="3">
        <f t="shared" ref="AM97:AM105" si="73">AL97*1000</f>
        <v>126.36995315551758</v>
      </c>
      <c r="AO97" s="4">
        <f>1628875098.59845-1628875098.46874</f>
        <v>0.12970995903015137</v>
      </c>
      <c r="AP97" s="3">
        <f t="shared" ref="AP97:AP105" si="74">AO97*1000</f>
        <v>129.70995903015137</v>
      </c>
      <c r="AR97" s="4">
        <f>1628875098.60281-1628875098.46874</f>
        <v>0.13406991958618164</v>
      </c>
      <c r="AS97" s="3">
        <f t="shared" ref="AS97:AS105" si="75">AR97*1000</f>
        <v>134.06991958618164</v>
      </c>
      <c r="AU97" s="4">
        <f>1628875098.60602-1628875098.46874</f>
        <v>0.13727998733520508</v>
      </c>
      <c r="AV97" s="3">
        <f t="shared" ref="AV97:AV105" si="76">AU97*1000</f>
        <v>137.27998733520508</v>
      </c>
      <c r="AX97" s="4">
        <f>1628875098.6102-1628875098.46874</f>
        <v>0.14145994186401367</v>
      </c>
      <c r="AY97" s="3">
        <f t="shared" ref="AY97:AY105" si="77">AX97*1000</f>
        <v>141.45994186401367</v>
      </c>
    </row>
    <row r="98" spans="2:51" x14ac:dyDescent="0.3">
      <c r="B98" s="4">
        <f>1628869650.08012-1628869650.07508</f>
        <v>5.0401687622070313E-3</v>
      </c>
      <c r="C98" s="3">
        <f t="shared" si="63"/>
        <v>5.0401687622070313</v>
      </c>
      <c r="E98" s="4">
        <f>1628869650.08015-1628869650.07508</f>
        <v>5.0699710845947266E-3</v>
      </c>
      <c r="F98" s="3">
        <f t="shared" si="64"/>
        <v>5.0699710845947266</v>
      </c>
      <c r="H98" s="4">
        <f>1628869650.08103-1628869650.07508</f>
        <v>5.9499740600585938E-3</v>
      </c>
      <c r="I98" s="3">
        <f t="shared" si="65"/>
        <v>5.9499740600585938</v>
      </c>
      <c r="K98" s="4">
        <f>1628869650.08028-1628869650.07508</f>
        <v>5.2001476287841797E-3</v>
      </c>
      <c r="L98" s="3">
        <f t="shared" si="66"/>
        <v>5.2001476287841797</v>
      </c>
      <c r="N98" s="4">
        <f>1628869650.08062-1628869650.07508</f>
        <v>5.5401325225830078E-3</v>
      </c>
      <c r="O98" s="3">
        <f t="shared" si="67"/>
        <v>5.5401325225830078</v>
      </c>
      <c r="T98" s="4">
        <f>1628873562.96738-1628873562.87167</f>
        <v>9.5710039138793945E-2</v>
      </c>
      <c r="U98" s="3">
        <f t="shared" si="68"/>
        <v>95.710039138793945</v>
      </c>
      <c r="W98" s="4">
        <f>1628873562.96981-1628873562.87167</f>
        <v>9.814000129699707E-2</v>
      </c>
      <c r="X98" s="3">
        <f t="shared" si="69"/>
        <v>98.14000129699707</v>
      </c>
      <c r="Z98" s="4">
        <f>1628873562.97212-1628873562.87167</f>
        <v>0.10045003890991211</v>
      </c>
      <c r="AA98" s="3">
        <f t="shared" si="70"/>
        <v>100.45003890991211</v>
      </c>
      <c r="AC98" s="4">
        <f>1628873562.97462-1628873562.87167</f>
        <v>0.10295009613037109</v>
      </c>
      <c r="AD98" s="3">
        <f t="shared" si="71"/>
        <v>102.95009613037109</v>
      </c>
      <c r="AF98" s="4">
        <f>1628873562.97681-1628873562.87167</f>
        <v>0.10513997077941895</v>
      </c>
      <c r="AG98" s="3">
        <f t="shared" si="72"/>
        <v>105.13997077941895</v>
      </c>
      <c r="AL98" s="4">
        <f>1628875099.8675-1628875099.73556</f>
        <v>0.13194012641906738</v>
      </c>
      <c r="AM98" s="3">
        <f t="shared" si="73"/>
        <v>131.94012641906738</v>
      </c>
      <c r="AO98" s="4">
        <f>1628875099.8714-1628875099.73556</f>
        <v>0.13584017753601074</v>
      </c>
      <c r="AP98" s="3">
        <f t="shared" si="74"/>
        <v>135.84017753601074</v>
      </c>
      <c r="AR98" s="4">
        <f>1628875099.87587-1628875099.73556</f>
        <v>0.14031004905700684</v>
      </c>
      <c r="AS98" s="3">
        <f t="shared" si="75"/>
        <v>140.31004905700684</v>
      </c>
      <c r="AU98" s="4">
        <f>1628875099.87924-1628875099.73556</f>
        <v>0.14368009567260742</v>
      </c>
      <c r="AV98" s="3">
        <f t="shared" si="76"/>
        <v>143.68009567260742</v>
      </c>
      <c r="AX98" s="4">
        <f>1628875099.88382-1628875099.73556</f>
        <v>0.14826011657714844</v>
      </c>
      <c r="AY98" s="3">
        <f t="shared" si="77"/>
        <v>148.26011657714844</v>
      </c>
    </row>
    <row r="99" spans="2:51" x14ac:dyDescent="0.3">
      <c r="B99" s="4">
        <f>1628869651.08746-1628869651.0824</f>
        <v>5.0599575042724609E-3</v>
      </c>
      <c r="C99" s="3">
        <f t="shared" si="63"/>
        <v>5.0599575042724609</v>
      </c>
      <c r="E99" s="4">
        <f>1628869651.08741-1628869651.0824</f>
        <v>5.0098896026611328E-3</v>
      </c>
      <c r="F99" s="3">
        <f t="shared" si="64"/>
        <v>5.0098896026611328</v>
      </c>
      <c r="H99" s="4">
        <f>1628869651.08813-1628869651.0824</f>
        <v>5.7299137115478516E-3</v>
      </c>
      <c r="I99" s="3">
        <f t="shared" si="65"/>
        <v>5.7299137115478516</v>
      </c>
      <c r="K99" s="4">
        <f>1628869651.08747-1628869651.0824</f>
        <v>5.0699710845947266E-3</v>
      </c>
      <c r="L99" s="3">
        <f t="shared" si="66"/>
        <v>5.0699710845947266</v>
      </c>
      <c r="N99" s="4">
        <f>1628869651.08781-1628869651.0824</f>
        <v>5.4099559783935547E-3</v>
      </c>
      <c r="O99" s="3">
        <f t="shared" si="67"/>
        <v>5.4099559783935547</v>
      </c>
      <c r="T99" s="4">
        <f>1628873564.20478-1628873564.07584</f>
        <v>0.12894010543823242</v>
      </c>
      <c r="U99" s="3">
        <f t="shared" si="68"/>
        <v>128.94010543823242</v>
      </c>
      <c r="W99" s="4">
        <f>1628873564.20896-1628873564.07584</f>
        <v>0.13312005996704102</v>
      </c>
      <c r="X99" s="3">
        <f t="shared" si="69"/>
        <v>133.12005996704102</v>
      </c>
      <c r="Z99" s="4">
        <f>1628873564.21361-1628873564.07584</f>
        <v>0.13776993751525879</v>
      </c>
      <c r="AA99" s="3">
        <f t="shared" si="70"/>
        <v>137.76993751525879</v>
      </c>
      <c r="AC99" s="4">
        <f>1628873564.21755-1628873564.07584</f>
        <v>0.14171004295349121</v>
      </c>
      <c r="AD99" s="3">
        <f t="shared" si="71"/>
        <v>141.71004295349121</v>
      </c>
      <c r="AF99" s="4">
        <f>1628873564.22201-1628873564.07584</f>
        <v>0.14616990089416504</v>
      </c>
      <c r="AG99" s="3">
        <f t="shared" si="72"/>
        <v>146.16990089416504</v>
      </c>
      <c r="AL99" s="4">
        <f>1628875101.12916-1628875101.00213</f>
        <v>0.1270298957824707</v>
      </c>
      <c r="AM99" s="3">
        <f t="shared" si="73"/>
        <v>127.0298957824707</v>
      </c>
      <c r="AO99" s="4">
        <f>1628875101.13193-1628875101.00213</f>
        <v>0.12980008125305176</v>
      </c>
      <c r="AP99" s="3">
        <f t="shared" si="74"/>
        <v>129.80008125305176</v>
      </c>
      <c r="AR99" s="4">
        <f>1628875101.1366-1628875101.00213</f>
        <v>0.13446998596191406</v>
      </c>
      <c r="AS99" s="3">
        <f t="shared" si="75"/>
        <v>134.46998596191406</v>
      </c>
      <c r="AU99" s="4">
        <f>1628875101.13995-1628875101.00213</f>
        <v>0.13782000541687012</v>
      </c>
      <c r="AV99" s="3">
        <f t="shared" si="76"/>
        <v>137.82000541687012</v>
      </c>
      <c r="AX99" s="4">
        <f>1628875101.14405-1628875101.00213</f>
        <v>0.14191985130310059</v>
      </c>
      <c r="AY99" s="3">
        <f t="shared" si="77"/>
        <v>141.91985130310059</v>
      </c>
    </row>
    <row r="100" spans="2:51" x14ac:dyDescent="0.3">
      <c r="B100" s="4">
        <f>1628869652.09458-1628869652.08963</f>
        <v>4.9500465393066406E-3</v>
      </c>
      <c r="C100" s="3">
        <f t="shared" si="63"/>
        <v>4.9500465393066406</v>
      </c>
      <c r="E100" s="4">
        <f>1628869652.09452-1628869652.08963</f>
        <v>4.8902034759521484E-3</v>
      </c>
      <c r="F100" s="3">
        <f t="shared" si="64"/>
        <v>4.8902034759521484</v>
      </c>
      <c r="H100" s="4">
        <f>1628869652.09504-1628869652.08963</f>
        <v>5.4101943969726563E-3</v>
      </c>
      <c r="I100" s="3">
        <f t="shared" si="65"/>
        <v>5.4101943969726563</v>
      </c>
      <c r="K100" s="4">
        <f>1628869652.09468-1628869652.08963</f>
        <v>5.0501823425292969E-3</v>
      </c>
      <c r="L100" s="3">
        <f t="shared" si="66"/>
        <v>5.0501823425292969</v>
      </c>
      <c r="N100" s="4">
        <f>1628869652.09535-1628869652.08963</f>
        <v>5.7201385498046875E-3</v>
      </c>
      <c r="O100" s="3">
        <f t="shared" si="67"/>
        <v>5.7201385498046875</v>
      </c>
      <c r="T100" s="4">
        <f>1628873565.4787-1628873565.35344</f>
        <v>0.1252598762512207</v>
      </c>
      <c r="U100" s="3">
        <f t="shared" si="68"/>
        <v>125.2598762512207</v>
      </c>
      <c r="W100" s="4">
        <f>1628873565.48314-1628873565.35344</f>
        <v>0.1296999454498291</v>
      </c>
      <c r="X100" s="3">
        <f t="shared" si="69"/>
        <v>129.6999454498291</v>
      </c>
      <c r="Z100" s="4">
        <f>1628873565.48705-1628873565.35344</f>
        <v>0.13361001014709473</v>
      </c>
      <c r="AA100" s="3">
        <f t="shared" si="70"/>
        <v>133.61001014709473</v>
      </c>
      <c r="AC100" s="4">
        <f>1628873565.49135-1628873565.35344</f>
        <v>0.13790988922119141</v>
      </c>
      <c r="AD100" s="3">
        <f t="shared" si="71"/>
        <v>137.90988922119141</v>
      </c>
      <c r="AF100" s="4">
        <f>1628873565.49526-1628873565.35344</f>
        <v>0.14181995391845703</v>
      </c>
      <c r="AG100" s="3">
        <f t="shared" si="72"/>
        <v>141.81995391845703</v>
      </c>
      <c r="AL100" s="4">
        <f>1628875102.40174-1628875102.26671</f>
        <v>0.13503003120422363</v>
      </c>
      <c r="AM100" s="3">
        <f t="shared" si="73"/>
        <v>135.03003120422363</v>
      </c>
      <c r="AO100" s="4">
        <f>1628875102.40591-1628875102.26671</f>
        <v>0.13919997215270996</v>
      </c>
      <c r="AP100" s="3">
        <f t="shared" si="74"/>
        <v>139.19997215270996</v>
      </c>
      <c r="AR100" s="4">
        <f>1628875102.41067-1628875102.26671</f>
        <v>0.14395999908447266</v>
      </c>
      <c r="AS100" s="3">
        <f t="shared" si="75"/>
        <v>143.95999908447266</v>
      </c>
      <c r="AU100" s="4">
        <f>1628875102.41458-1628875102.26671</f>
        <v>0.14787006378173828</v>
      </c>
      <c r="AV100" s="3">
        <f t="shared" si="76"/>
        <v>147.87006378173828</v>
      </c>
      <c r="AX100" s="4">
        <f>1628875102.41873-1628875102.26671</f>
        <v>0.15201997756958008</v>
      </c>
      <c r="AY100" s="3">
        <f t="shared" si="77"/>
        <v>152.01997756958008</v>
      </c>
    </row>
    <row r="101" spans="2:51" x14ac:dyDescent="0.3">
      <c r="B101" s="4">
        <f>1628869653.10113-1628869653.09703</f>
        <v>4.1000843048095703E-3</v>
      </c>
      <c r="C101" s="3">
        <f t="shared" si="63"/>
        <v>4.1000843048095703</v>
      </c>
      <c r="E101" s="4">
        <f>1628869653.10106-1628869653.09703</f>
        <v>4.0299892425537109E-3</v>
      </c>
      <c r="F101" s="3">
        <f t="shared" si="64"/>
        <v>4.0299892425537109</v>
      </c>
      <c r="H101" s="4">
        <f>1628869653.10198-1628869653.09703</f>
        <v>4.9500465393066406E-3</v>
      </c>
      <c r="I101" s="3">
        <f t="shared" si="65"/>
        <v>4.9500465393066406</v>
      </c>
      <c r="K101" s="4">
        <f>1628869653.10119-1628869653.09703</f>
        <v>4.1601657867431641E-3</v>
      </c>
      <c r="L101" s="3">
        <f t="shared" si="66"/>
        <v>4.1601657867431641</v>
      </c>
      <c r="N101" s="4">
        <f>1628869653.10112-1628869653.09703</f>
        <v>4.0900707244873047E-3</v>
      </c>
      <c r="O101" s="3">
        <f t="shared" si="67"/>
        <v>4.0900707244873047</v>
      </c>
      <c r="T101" s="4">
        <f>1628873566.74708-1628873566.62751</f>
        <v>0.11957001686096191</v>
      </c>
      <c r="U101" s="3">
        <f t="shared" si="68"/>
        <v>119.57001686096191</v>
      </c>
      <c r="W101" s="4">
        <f>1628873566.7513-1628873566.62751</f>
        <v>0.12379002571105957</v>
      </c>
      <c r="X101" s="3">
        <f t="shared" si="69"/>
        <v>123.79002571105957</v>
      </c>
      <c r="Z101" s="4">
        <f>1628873566.75605-1628873566.62751</f>
        <v>0.1285400390625</v>
      </c>
      <c r="AA101" s="3">
        <f t="shared" si="70"/>
        <v>128.5400390625</v>
      </c>
      <c r="AC101" s="4">
        <f>1628873566.75999-1628873566.62751</f>
        <v>0.13247990608215332</v>
      </c>
      <c r="AD101" s="3">
        <f t="shared" si="71"/>
        <v>132.47990608215332</v>
      </c>
      <c r="AF101" s="4">
        <f>1628873566.76419-1628873566.62751</f>
        <v>0.13667988777160645</v>
      </c>
      <c r="AG101" s="3">
        <f t="shared" si="72"/>
        <v>136.67988777160645</v>
      </c>
      <c r="AL101" s="4">
        <f>1628875103.66855-1628875103.5344</f>
        <v>0.13415002822875977</v>
      </c>
      <c r="AM101" s="3">
        <f t="shared" si="73"/>
        <v>134.15002822875977</v>
      </c>
      <c r="AO101" s="4">
        <f>1628875103.67311-1628875103.5344</f>
        <v>0.13871002197265625</v>
      </c>
      <c r="AP101" s="3">
        <f t="shared" si="74"/>
        <v>138.71002197265625</v>
      </c>
      <c r="AR101" s="4">
        <f>1628875103.67831-1628875103.5344</f>
        <v>0.14390993118286133</v>
      </c>
      <c r="AS101" s="3">
        <f t="shared" si="75"/>
        <v>143.90993118286133</v>
      </c>
      <c r="AU101" s="4">
        <f>1628875103.68242-1628875103.5344</f>
        <v>0.14802002906799316</v>
      </c>
      <c r="AV101" s="3">
        <f t="shared" si="76"/>
        <v>148.02002906799316</v>
      </c>
      <c r="AX101" s="4">
        <f>1628875103.68564-1628875103.5344</f>
        <v>0.15124011039733887</v>
      </c>
      <c r="AY101" s="3">
        <f t="shared" si="77"/>
        <v>151.24011039733887</v>
      </c>
    </row>
    <row r="102" spans="2:51" x14ac:dyDescent="0.3">
      <c r="B102" s="4">
        <f>1628869654.10829-1628869654.10327</f>
        <v>5.0199031829833984E-3</v>
      </c>
      <c r="C102" s="3">
        <f t="shared" si="63"/>
        <v>5.0199031829833984</v>
      </c>
      <c r="E102" s="4">
        <f>1628869654.10835-1628869654.10327</f>
        <v>5.0799846649169922E-3</v>
      </c>
      <c r="F102" s="3">
        <f t="shared" si="64"/>
        <v>5.0799846649169922</v>
      </c>
      <c r="H102" s="4">
        <f>1628869654.10899-1628869654.10327</f>
        <v>5.7199001312255859E-3</v>
      </c>
      <c r="I102" s="3">
        <f t="shared" si="65"/>
        <v>5.7199001312255859</v>
      </c>
      <c r="K102" s="4">
        <f>1628869654.1084-1628869654.10327</f>
        <v>5.1300525665283203E-3</v>
      </c>
      <c r="L102" s="3">
        <f t="shared" si="66"/>
        <v>5.1300525665283203</v>
      </c>
      <c r="N102" s="4">
        <f>1628869654.10834-1628869654.10327</f>
        <v>5.0699710845947266E-3</v>
      </c>
      <c r="O102" s="3">
        <f t="shared" si="67"/>
        <v>5.0699710845947266</v>
      </c>
      <c r="T102" s="4">
        <f>1628873568.01618-1628873567.88822</f>
        <v>0.1279599666595459</v>
      </c>
      <c r="U102" s="3">
        <f t="shared" si="68"/>
        <v>127.9599666595459</v>
      </c>
      <c r="W102" s="4">
        <f>1628873568.02045-1628873567.88822</f>
        <v>0.13223004341125488</v>
      </c>
      <c r="X102" s="3">
        <f t="shared" si="69"/>
        <v>132.23004341125488</v>
      </c>
      <c r="Z102" s="4">
        <f>1628873568.02492-1628873567.88822</f>
        <v>0.13669991493225098</v>
      </c>
      <c r="AA102" s="3">
        <f t="shared" si="70"/>
        <v>136.69991493225098</v>
      </c>
      <c r="AC102" s="4">
        <f>1628873568.02907-1628873567.88822</f>
        <v>0.14084982872009277</v>
      </c>
      <c r="AD102" s="3">
        <f t="shared" si="71"/>
        <v>140.84982872009277</v>
      </c>
      <c r="AF102" s="4">
        <f>1628873568.03336-1628873567.88822</f>
        <v>0.14513993263244629</v>
      </c>
      <c r="AG102" s="3">
        <f t="shared" si="72"/>
        <v>145.13993263244629</v>
      </c>
      <c r="AL102" s="4">
        <f>1628875104.94407-1628875104.81043</f>
        <v>0.13364005088806152</v>
      </c>
      <c r="AM102" s="3">
        <f t="shared" si="73"/>
        <v>133.64005088806152</v>
      </c>
      <c r="AO102" s="4">
        <f>1628875104.94822-1628875104.81043</f>
        <v>0.13778996467590332</v>
      </c>
      <c r="AP102" s="3">
        <f t="shared" si="74"/>
        <v>137.78996467590332</v>
      </c>
      <c r="AR102" s="4">
        <f>1628875104.9524-1628875104.81043</f>
        <v>0.14196991920471191</v>
      </c>
      <c r="AS102" s="3">
        <f t="shared" si="75"/>
        <v>141.96991920471191</v>
      </c>
      <c r="AU102" s="4">
        <f>1628875104.95647-1628875104.81043</f>
        <v>0.14603996276855469</v>
      </c>
      <c r="AV102" s="3">
        <f t="shared" si="76"/>
        <v>146.03996276855469</v>
      </c>
      <c r="AX102" s="4">
        <f>1628875104.96091-1628875104.81043</f>
        <v>0.15048003196716309</v>
      </c>
      <c r="AY102" s="3">
        <f t="shared" si="77"/>
        <v>150.48003196716309</v>
      </c>
    </row>
    <row r="103" spans="2:51" x14ac:dyDescent="0.3">
      <c r="B103" s="4">
        <f>1628869655.11558-1628869655.11052</f>
        <v>5.0601959228515625E-3</v>
      </c>
      <c r="C103" s="3">
        <f t="shared" si="63"/>
        <v>5.0601959228515625</v>
      </c>
      <c r="E103" s="4">
        <f>1628869655.11552-1628869655.11052</f>
        <v>5.0001144409179688E-3</v>
      </c>
      <c r="F103" s="3">
        <f t="shared" si="64"/>
        <v>5.0001144409179688</v>
      </c>
      <c r="H103" s="4">
        <f>1628869655.11594-1628869655.11052</f>
        <v>5.4202079772949219E-3</v>
      </c>
      <c r="I103" s="3">
        <f t="shared" si="65"/>
        <v>5.4202079772949219</v>
      </c>
      <c r="K103" s="4">
        <f>1628869655.11558-1628869655.11052</f>
        <v>5.0601959228515625E-3</v>
      </c>
      <c r="L103" s="3">
        <f t="shared" si="66"/>
        <v>5.0601959228515625</v>
      </c>
      <c r="N103" s="4">
        <f>1628869655.11626-1628869655.11052</f>
        <v>5.7401657104492188E-3</v>
      </c>
      <c r="O103" s="3">
        <f t="shared" si="67"/>
        <v>5.7401657104492188</v>
      </c>
      <c r="T103" s="4">
        <f>1628873569.28086-1628873569.15379</f>
        <v>0.12706995010375977</v>
      </c>
      <c r="U103" s="3">
        <f t="shared" si="68"/>
        <v>127.06995010375977</v>
      </c>
      <c r="W103" s="4">
        <f>1628873569.28415-1628873569.15379</f>
        <v>0.13035988807678223</v>
      </c>
      <c r="X103" s="3">
        <f t="shared" si="69"/>
        <v>130.35988807678223</v>
      </c>
      <c r="Z103" s="4">
        <f>1628873569.28785-1628873569.15379</f>
        <v>0.13405990600585938</v>
      </c>
      <c r="AA103" s="3">
        <f t="shared" si="70"/>
        <v>134.05990600585938</v>
      </c>
      <c r="AC103" s="4">
        <f>1628873569.29113-1628873569.15379</f>
        <v>0.13734006881713867</v>
      </c>
      <c r="AD103" s="3">
        <f t="shared" si="71"/>
        <v>137.34006881713867</v>
      </c>
      <c r="AF103" s="4">
        <f>1628873569.29511-1628873569.15379</f>
        <v>0.14131999015808105</v>
      </c>
      <c r="AG103" s="3">
        <f t="shared" si="72"/>
        <v>141.31999015808105</v>
      </c>
      <c r="AL103" s="4">
        <f>1628875106.20309-1628875106.07662</f>
        <v>0.12646985054016113</v>
      </c>
      <c r="AM103" s="3">
        <f t="shared" si="73"/>
        <v>126.46985054016113</v>
      </c>
      <c r="AO103" s="4">
        <f>1628875106.20658-1628875106.07662</f>
        <v>0.1299598217010498</v>
      </c>
      <c r="AP103" s="3">
        <f t="shared" si="74"/>
        <v>129.9598217010498</v>
      </c>
      <c r="AR103" s="4">
        <f>1628875106.21121-1628875106.07662</f>
        <v>0.13458991050720215</v>
      </c>
      <c r="AS103" s="3">
        <f t="shared" si="75"/>
        <v>134.58991050720215</v>
      </c>
      <c r="AU103" s="4">
        <f>1628875106.21523-1628875106.07662</f>
        <v>0.13860988616943359</v>
      </c>
      <c r="AV103" s="3">
        <f t="shared" si="76"/>
        <v>138.60988616943359</v>
      </c>
      <c r="AX103" s="4">
        <f>1628875106.21955-1628875106.07662</f>
        <v>0.1429297924041748</v>
      </c>
      <c r="AY103" s="3">
        <f t="shared" si="77"/>
        <v>142.9297924041748</v>
      </c>
    </row>
    <row r="104" spans="2:51" x14ac:dyDescent="0.3">
      <c r="B104" s="4">
        <f>1628869656.12296-1628869656.11783</f>
        <v>5.1300525665283203E-3</v>
      </c>
      <c r="C104" s="3">
        <f t="shared" si="63"/>
        <v>5.1300525665283203</v>
      </c>
      <c r="E104" s="4">
        <f>1628869656.12288-1628869656.11783</f>
        <v>5.0499439239501953E-3</v>
      </c>
      <c r="F104" s="3">
        <f t="shared" si="64"/>
        <v>5.0499439239501953</v>
      </c>
      <c r="H104" s="4">
        <f>1628869656.12355-1628869656.11783</f>
        <v>5.7199001312255859E-3</v>
      </c>
      <c r="I104" s="3">
        <f t="shared" si="65"/>
        <v>5.7199001312255859</v>
      </c>
      <c r="K104" s="4">
        <f>1628869656.12299-1628869656.11783</f>
        <v>5.1598548889160156E-3</v>
      </c>
      <c r="L104" s="3">
        <f t="shared" si="66"/>
        <v>5.1598548889160156</v>
      </c>
      <c r="N104" s="4">
        <f>1628869656.12294-1628869656.11783</f>
        <v>5.1100254058837891E-3</v>
      </c>
      <c r="O104" s="3">
        <f t="shared" si="67"/>
        <v>5.1100254058837891</v>
      </c>
      <c r="T104" s="4">
        <f>1628873570.55012-1628873570.42245</f>
        <v>0.1276700496673584</v>
      </c>
      <c r="U104" s="3">
        <f t="shared" si="68"/>
        <v>127.6700496673584</v>
      </c>
      <c r="W104" s="4">
        <f>1628873570.55387-1628873570.42245</f>
        <v>0.13141989707946777</v>
      </c>
      <c r="X104" s="3">
        <f t="shared" si="69"/>
        <v>131.41989707946777</v>
      </c>
      <c r="Z104" s="4">
        <f>1628873570.5586-1628873570.42245</f>
        <v>0.13614988327026367</v>
      </c>
      <c r="AA104" s="3">
        <f t="shared" si="70"/>
        <v>136.14988327026367</v>
      </c>
      <c r="AC104" s="4">
        <f>1628873570.56159-1628873570.42245</f>
        <v>0.13913989067077637</v>
      </c>
      <c r="AD104" s="3">
        <f t="shared" si="71"/>
        <v>139.13989067077637</v>
      </c>
      <c r="AF104" s="4">
        <f>1628873570.56512-1628873570.42245</f>
        <v>0.1426699161529541</v>
      </c>
      <c r="AG104" s="3">
        <f t="shared" si="72"/>
        <v>142.6699161529541</v>
      </c>
      <c r="AL104" s="4">
        <f>1628875107.47381-1628875107.34241</f>
        <v>0.13139986991882324</v>
      </c>
      <c r="AM104" s="3">
        <f t="shared" si="73"/>
        <v>131.39986991882324</v>
      </c>
      <c r="AO104" s="4">
        <f>1628875107.47662-1628875107.34241</f>
        <v>0.13420987129211426</v>
      </c>
      <c r="AP104" s="3">
        <f t="shared" si="74"/>
        <v>134.20987129211426</v>
      </c>
      <c r="AR104" s="4">
        <f>1628875107.48083-1628875107.34241</f>
        <v>0.13841986656188965</v>
      </c>
      <c r="AS104" s="3">
        <f t="shared" si="75"/>
        <v>138.41986656188965</v>
      </c>
      <c r="AU104" s="4">
        <f>1628875107.48486-1628875107.34241</f>
        <v>0.14244985580444336</v>
      </c>
      <c r="AV104" s="3">
        <f t="shared" si="76"/>
        <v>142.44985580444336</v>
      </c>
      <c r="AX104" s="4">
        <f>1628875107.48933-1628875107.34241</f>
        <v>0.14691996574401855</v>
      </c>
      <c r="AY104" s="3">
        <f t="shared" si="77"/>
        <v>146.91996574401855</v>
      </c>
    </row>
    <row r="105" spans="2:51" x14ac:dyDescent="0.3">
      <c r="B105" s="4">
        <f>1628869657.13-1628869657.12504</f>
        <v>4.9600601196289063E-3</v>
      </c>
      <c r="C105" s="3">
        <f t="shared" si="63"/>
        <v>4.9600601196289063</v>
      </c>
      <c r="E105" s="4">
        <f>1628869657.12995-1628869657.12504</f>
        <v>4.9099922180175781E-3</v>
      </c>
      <c r="F105" s="3">
        <f t="shared" si="64"/>
        <v>4.9099922180175781</v>
      </c>
      <c r="H105" s="4">
        <f>1628869657.13042-1628869657.12504</f>
        <v>5.3799152374267578E-3</v>
      </c>
      <c r="I105" s="3">
        <f t="shared" si="65"/>
        <v>5.3799152374267578</v>
      </c>
      <c r="K105" s="4">
        <f>1628869657.13002-1628869657.12504</f>
        <v>4.9798488616943359E-3</v>
      </c>
      <c r="L105" s="3">
        <f t="shared" si="66"/>
        <v>4.9798488616943359</v>
      </c>
      <c r="N105" s="4">
        <f>1628869657.13507-1628869657.12504</f>
        <v>1.0030031204223633E-2</v>
      </c>
      <c r="O105" s="3">
        <f t="shared" si="67"/>
        <v>10.030031204223633</v>
      </c>
      <c r="T105" s="4">
        <f>1628873571.81367-1628873571.69399</f>
        <v>0.11967992782592773</v>
      </c>
      <c r="U105" s="3">
        <f t="shared" si="68"/>
        <v>119.67992782592773</v>
      </c>
      <c r="W105" s="4">
        <f>1628873571.81746-1628873571.69399</f>
        <v>0.12347006797790527</v>
      </c>
      <c r="X105" s="3">
        <f t="shared" si="69"/>
        <v>123.47006797790527</v>
      </c>
      <c r="Z105" s="4">
        <f>1628873571.82215-1628873571.69399</f>
        <v>0.12815999984741211</v>
      </c>
      <c r="AA105" s="3">
        <f t="shared" si="70"/>
        <v>128.15999984741211</v>
      </c>
      <c r="AC105" s="4">
        <f>1628873571.82607-1628873571.69399</f>
        <v>0.132080078125</v>
      </c>
      <c r="AD105" s="3">
        <f t="shared" si="71"/>
        <v>132.080078125</v>
      </c>
      <c r="AF105" s="4">
        <f>1628873571.83046-1628873571.69399</f>
        <v>0.13647007942199707</v>
      </c>
      <c r="AG105" s="3">
        <f t="shared" si="72"/>
        <v>136.47007942199707</v>
      </c>
      <c r="AL105" s="4">
        <f>1628875108.73691-1628875108.6092</f>
        <v>0.12771010398864746</v>
      </c>
      <c r="AM105" s="3">
        <f t="shared" si="73"/>
        <v>127.71010398864746</v>
      </c>
      <c r="AO105" s="4">
        <f>1628875108.74132-1628875108.6092</f>
        <v>0.13211989402770996</v>
      </c>
      <c r="AP105" s="3">
        <f t="shared" si="74"/>
        <v>132.11989402770996</v>
      </c>
      <c r="AR105" s="4">
        <f>1628875108.74469-1628875108.6092</f>
        <v>0.13548994064331055</v>
      </c>
      <c r="AS105" s="3">
        <f t="shared" si="75"/>
        <v>135.48994064331055</v>
      </c>
      <c r="AU105" s="4">
        <f>1628875108.74863-1628875108.6092</f>
        <v>0.13943004608154297</v>
      </c>
      <c r="AV105" s="3">
        <f t="shared" si="76"/>
        <v>139.43004608154297</v>
      </c>
      <c r="AX105" s="4">
        <f>1628875108.75296-1628875108.6092</f>
        <v>0.14375996589660645</v>
      </c>
      <c r="AY105" s="3">
        <f t="shared" si="77"/>
        <v>143.75996589660645</v>
      </c>
    </row>
    <row r="106" spans="2:51" x14ac:dyDescent="0.3">
      <c r="C106" s="2">
        <f>AVERAGE(C96:C105)</f>
        <v>4.9590349197387695</v>
      </c>
      <c r="F106" s="2">
        <f>AVERAGE(F96:F105)</f>
        <v>4.9309968948364258</v>
      </c>
      <c r="I106" s="2">
        <f>AVERAGE(I96:I105)</f>
        <v>5.5550098419189453</v>
      </c>
      <c r="L106" s="2">
        <f>AVERAGE(L96:L105)</f>
        <v>5.0450325012207031</v>
      </c>
      <c r="O106" s="2">
        <f>AVERAGE(O96:O105)</f>
        <v>5.8690547943115234</v>
      </c>
      <c r="U106" s="2">
        <f>AVERAGE(U96:U105)</f>
        <v>122.30498790740967</v>
      </c>
      <c r="X106" s="2">
        <f>AVERAGE(X96:X105)</f>
        <v>126.23000144958496</v>
      </c>
      <c r="AA106" s="2">
        <f>AVERAGE(AA96:AA105)</f>
        <v>130.41996955871582</v>
      </c>
      <c r="AD106" s="2">
        <f>AVERAGE(AD96:AD105)</f>
        <v>134.19296741485596</v>
      </c>
      <c r="AG106" s="2">
        <f>AVERAGE(AG96:AG105)</f>
        <v>138.13297748565674</v>
      </c>
      <c r="AM106" s="2">
        <f>AVERAGE(AM96:AM105)</f>
        <v>129.96699810028076</v>
      </c>
      <c r="AP106" s="2">
        <f>AVERAGE(AP96:AP105)</f>
        <v>133.71696472167969</v>
      </c>
      <c r="AS106" s="2">
        <f>AVERAGE(AS96:AS105)</f>
        <v>138.18295001983643</v>
      </c>
      <c r="AV106" s="2">
        <f>AVERAGE(AV96:AV105)</f>
        <v>142.01300144195557</v>
      </c>
      <c r="AY106" s="2">
        <f>AVERAGE(AY96:AY105)</f>
        <v>146.1749792098999</v>
      </c>
    </row>
    <row r="108" spans="2:51" x14ac:dyDescent="0.3">
      <c r="B108" s="6" t="s">
        <v>57</v>
      </c>
      <c r="C108" s="6"/>
      <c r="E108" s="6" t="s">
        <v>58</v>
      </c>
      <c r="F108" s="6"/>
      <c r="H108" s="6" t="s">
        <v>59</v>
      </c>
      <c r="I108" s="6"/>
      <c r="K108" s="6" t="s">
        <v>60</v>
      </c>
      <c r="L108" s="6"/>
      <c r="N108" s="6" t="s">
        <v>61</v>
      </c>
      <c r="O108" s="6"/>
      <c r="T108" s="6" t="s">
        <v>57</v>
      </c>
      <c r="U108" s="6"/>
      <c r="W108" s="6" t="s">
        <v>58</v>
      </c>
      <c r="X108" s="6"/>
      <c r="Z108" s="6" t="s">
        <v>59</v>
      </c>
      <c r="AA108" s="6"/>
      <c r="AC108" s="6" t="s">
        <v>60</v>
      </c>
      <c r="AD108" s="6"/>
      <c r="AF108" s="6" t="s">
        <v>61</v>
      </c>
      <c r="AG108" s="6"/>
      <c r="AL108" s="6" t="s">
        <v>57</v>
      </c>
      <c r="AM108" s="6"/>
      <c r="AO108" s="6" t="s">
        <v>58</v>
      </c>
      <c r="AP108" s="6"/>
      <c r="AR108" s="6" t="s">
        <v>59</v>
      </c>
      <c r="AS108" s="6"/>
      <c r="AU108" s="6" t="s">
        <v>60</v>
      </c>
      <c r="AV108" s="6"/>
      <c r="AX108" s="6" t="s">
        <v>61</v>
      </c>
      <c r="AY108" s="6"/>
    </row>
    <row r="109" spans="2:51" ht="30.6" customHeight="1" x14ac:dyDescent="0.3">
      <c r="B109" s="8" t="s">
        <v>2</v>
      </c>
      <c r="C109" s="8"/>
      <c r="E109" s="8" t="s">
        <v>2</v>
      </c>
      <c r="F109" s="8"/>
      <c r="H109" s="8" t="s">
        <v>2</v>
      </c>
      <c r="I109" s="8"/>
      <c r="K109" s="8" t="s">
        <v>2</v>
      </c>
      <c r="L109" s="8"/>
      <c r="N109" s="8" t="s">
        <v>2</v>
      </c>
      <c r="O109" s="8"/>
      <c r="T109" s="8" t="s">
        <v>62</v>
      </c>
      <c r="U109" s="8"/>
      <c r="W109" s="8" t="s">
        <v>62</v>
      </c>
      <c r="X109" s="8"/>
      <c r="Z109" s="8" t="s">
        <v>62</v>
      </c>
      <c r="AA109" s="8"/>
      <c r="AC109" s="8" t="s">
        <v>62</v>
      </c>
      <c r="AD109" s="8"/>
      <c r="AF109" s="8" t="s">
        <v>62</v>
      </c>
      <c r="AG109" s="8"/>
      <c r="AL109" s="8" t="s">
        <v>63</v>
      </c>
      <c r="AM109" s="8"/>
      <c r="AO109" s="8" t="s">
        <v>63</v>
      </c>
      <c r="AP109" s="8"/>
      <c r="AR109" s="8" t="s">
        <v>63</v>
      </c>
      <c r="AS109" s="8"/>
      <c r="AU109" s="8" t="s">
        <v>63</v>
      </c>
      <c r="AV109" s="8"/>
      <c r="AX109" s="8" t="s">
        <v>63</v>
      </c>
      <c r="AY109" s="8"/>
    </row>
    <row r="110" spans="2:51" x14ac:dyDescent="0.3">
      <c r="B110" s="1" t="s">
        <v>1</v>
      </c>
      <c r="C110" s="1" t="s">
        <v>0</v>
      </c>
      <c r="E110" s="1" t="s">
        <v>1</v>
      </c>
      <c r="F110" s="1" t="s">
        <v>0</v>
      </c>
      <c r="H110" s="1" t="s">
        <v>1</v>
      </c>
      <c r="I110" s="1" t="s">
        <v>0</v>
      </c>
      <c r="K110" s="1" t="s">
        <v>1</v>
      </c>
      <c r="L110" s="1" t="s">
        <v>0</v>
      </c>
      <c r="N110" s="1" t="s">
        <v>1</v>
      </c>
      <c r="O110" s="1" t="s">
        <v>0</v>
      </c>
      <c r="T110" s="1" t="s">
        <v>1</v>
      </c>
      <c r="U110" s="1" t="s">
        <v>0</v>
      </c>
      <c r="W110" s="1" t="s">
        <v>1</v>
      </c>
      <c r="X110" s="1" t="s">
        <v>0</v>
      </c>
      <c r="Z110" s="1" t="s">
        <v>1</v>
      </c>
      <c r="AA110" s="1" t="s">
        <v>0</v>
      </c>
      <c r="AC110" s="1" t="s">
        <v>1</v>
      </c>
      <c r="AD110" s="1" t="s">
        <v>0</v>
      </c>
      <c r="AF110" s="1" t="s">
        <v>1</v>
      </c>
      <c r="AG110" s="1" t="s">
        <v>0</v>
      </c>
      <c r="AL110" s="1" t="s">
        <v>1</v>
      </c>
      <c r="AM110" s="1" t="s">
        <v>0</v>
      </c>
      <c r="AO110" s="1" t="s">
        <v>1</v>
      </c>
      <c r="AP110" s="1" t="s">
        <v>0</v>
      </c>
      <c r="AR110" s="1" t="s">
        <v>1</v>
      </c>
      <c r="AS110" s="1" t="s">
        <v>0</v>
      </c>
      <c r="AU110" s="1" t="s">
        <v>1</v>
      </c>
      <c r="AV110" s="1" t="s">
        <v>0</v>
      </c>
      <c r="AX110" s="1" t="s">
        <v>1</v>
      </c>
      <c r="AY110" s="1" t="s">
        <v>0</v>
      </c>
    </row>
    <row r="111" spans="2:51" x14ac:dyDescent="0.3">
      <c r="B111" s="4">
        <f>1628869648.06567-1628869648.06002</f>
        <v>5.6500434875488281E-3</v>
      </c>
      <c r="C111" s="3">
        <f>B111*1000</f>
        <v>5.6500434875488281</v>
      </c>
      <c r="E111" s="4">
        <f>1628869648.06601-1628869648.06002</f>
        <v>5.9900283813476563E-3</v>
      </c>
      <c r="F111" s="3">
        <f>E111*1000</f>
        <v>5.9900283813476563</v>
      </c>
      <c r="H111" s="4">
        <f>1628869648.06659-1628869648.06002</f>
        <v>6.5701007843017578E-3</v>
      </c>
      <c r="I111" s="3">
        <f>H111*1000</f>
        <v>6.5701007843017578</v>
      </c>
      <c r="K111" s="4">
        <f>1628869648.06579-1628869648.06002</f>
        <v>5.7699680328369141E-3</v>
      </c>
      <c r="L111" s="3">
        <f>K111*1000</f>
        <v>5.7699680328369141</v>
      </c>
      <c r="N111" s="4">
        <f>1628869648.06639-1628869648.06002</f>
        <v>6.3700675964355469E-3</v>
      </c>
      <c r="O111" s="3">
        <f>N111*1000</f>
        <v>6.3700675964355469</v>
      </c>
      <c r="T111" s="4">
        <f>1628873560.47749-1628873560.32879</f>
        <v>0.14869999885559082</v>
      </c>
      <c r="U111" s="3">
        <f>T111*1000</f>
        <v>148.69999885559082</v>
      </c>
      <c r="W111" s="4">
        <f>1628873560.48083-1628873560.32879</f>
        <v>0.15204000473022461</v>
      </c>
      <c r="X111" s="3">
        <f>W111*1000</f>
        <v>152.04000473022461</v>
      </c>
      <c r="Z111" s="4">
        <f>1628873560.48466-1628873560.32879</f>
        <v>0.15586996078491211</v>
      </c>
      <c r="AA111" s="3">
        <f>Z111*1000</f>
        <v>155.86996078491211</v>
      </c>
      <c r="AC111" s="4">
        <f>1628873560.48919-1628873560.32879</f>
        <v>0.1604001522064209</v>
      </c>
      <c r="AD111" s="3">
        <f>AC111*1000</f>
        <v>160.4001522064209</v>
      </c>
      <c r="AF111" s="4">
        <f>1628873560.49372-1628873560.32879</f>
        <v>0.16493010520935059</v>
      </c>
      <c r="AG111" s="3">
        <f>AF111*1000</f>
        <v>164.93010520935059</v>
      </c>
      <c r="AL111" s="4">
        <f>1628875097.35157-1628875097.20454</f>
        <v>0.14702987670898438</v>
      </c>
      <c r="AM111" s="3">
        <f>AL111*1000</f>
        <v>147.02987670898438</v>
      </c>
      <c r="AO111" s="4">
        <f>1628875097.35438-1628875097.20454</f>
        <v>0.14983987808227539</v>
      </c>
      <c r="AP111" s="3">
        <f>AO111*1000</f>
        <v>149.83987808227539</v>
      </c>
      <c r="AR111" s="4">
        <f>1628875097.35795-1628875097.20454</f>
        <v>0.15340995788574219</v>
      </c>
      <c r="AS111" s="3">
        <f>AR111*1000</f>
        <v>153.40995788574219</v>
      </c>
      <c r="AU111" s="4">
        <f>1628875097.36128-1628875097.20454</f>
        <v>0.15673995018005371</v>
      </c>
      <c r="AV111" s="3">
        <f>AU111*1000</f>
        <v>156.73995018005371</v>
      </c>
      <c r="AX111" s="4">
        <f>1628875097.36604-1628875097.20454</f>
        <v>0.16149997711181641</v>
      </c>
      <c r="AY111" s="3">
        <f>AX111*1000</f>
        <v>161.49997711181641</v>
      </c>
    </row>
    <row r="112" spans="2:51" x14ac:dyDescent="0.3">
      <c r="B112" s="4">
        <f>1628869649.07301-1628869649.06764</f>
        <v>5.3699016571044922E-3</v>
      </c>
      <c r="C112" s="3">
        <f t="shared" ref="C112:C120" si="78">B112*1000</f>
        <v>5.3699016571044922</v>
      </c>
      <c r="E112" s="4">
        <f>1628869649.0738-1628869649.06764</f>
        <v>6.1600208282470703E-3</v>
      </c>
      <c r="F112" s="3">
        <f t="shared" ref="F112:F120" si="79">E112*1000</f>
        <v>6.1600208282470703</v>
      </c>
      <c r="H112" s="4">
        <f>1628869649.07349-1628869649.06764</f>
        <v>5.8498382568359375E-3</v>
      </c>
      <c r="I112" s="3">
        <f t="shared" ref="I112:I120" si="80">H112*1000</f>
        <v>5.8498382568359375</v>
      </c>
      <c r="K112" s="4">
        <f>1628869649.0732-1628869649.06764</f>
        <v>5.5599212646484375E-3</v>
      </c>
      <c r="L112" s="3">
        <f t="shared" ref="L112:L120" si="81">K112*1000</f>
        <v>5.5599212646484375</v>
      </c>
      <c r="N112" s="4">
        <f>1628869649.07343-1628869649.06764</f>
        <v>5.7899951934814453E-3</v>
      </c>
      <c r="O112" s="3">
        <f t="shared" ref="O112:O120" si="82">N112*1000</f>
        <v>5.7899951934814453</v>
      </c>
      <c r="T112" s="4">
        <f>1628873561.74491-1628873561.59871</f>
        <v>0.14619994163513184</v>
      </c>
      <c r="U112" s="3">
        <f t="shared" ref="U112:U120" si="83">T112*1000</f>
        <v>146.19994163513184</v>
      </c>
      <c r="W112" s="4">
        <f>1628873561.74897-1628873561.59871</f>
        <v>0.15025997161865234</v>
      </c>
      <c r="X112" s="3">
        <f t="shared" ref="X112:X120" si="84">W112*1000</f>
        <v>150.25997161865234</v>
      </c>
      <c r="Z112" s="4">
        <f>1628873561.75318-1628873561.59871</f>
        <v>0.15446996688842773</v>
      </c>
      <c r="AA112" s="3">
        <f t="shared" ref="AA112:AA120" si="85">Z112*1000</f>
        <v>154.46996688842773</v>
      </c>
      <c r="AC112" s="4">
        <f>1628873561.75721-1628873561.59871</f>
        <v>0.15849995613098145</v>
      </c>
      <c r="AD112" s="3">
        <f t="shared" ref="AD112:AD120" si="86">AC112*1000</f>
        <v>158.49995613098145</v>
      </c>
      <c r="AF112" s="4">
        <f>1628873561.7615-1628873561.59871</f>
        <v>0.16278982162475586</v>
      </c>
      <c r="AG112" s="3">
        <f t="shared" ref="AG112:AG120" si="87">AF112*1000</f>
        <v>162.78982162475586</v>
      </c>
      <c r="AL112" s="4">
        <f>1628875098.61463-1628875098.46874</f>
        <v>0.1458899974822998</v>
      </c>
      <c r="AM112" s="3">
        <f t="shared" ref="AM112:AM120" si="88">AL112*1000</f>
        <v>145.8899974822998</v>
      </c>
      <c r="AO112" s="4">
        <f>1628875098.619-1628875098.46874</f>
        <v>0.15025997161865234</v>
      </c>
      <c r="AP112" s="3">
        <f t="shared" ref="AP112:AP120" si="89">AO112*1000</f>
        <v>150.25997161865234</v>
      </c>
      <c r="AR112" s="4">
        <f>1628875098.6227-1628875098.46874</f>
        <v>0.15395998954772949</v>
      </c>
      <c r="AS112" s="3">
        <f t="shared" ref="AS112:AS120" si="90">AR112*1000</f>
        <v>153.95998954772949</v>
      </c>
      <c r="AU112" s="4">
        <f>1628875098.62635-1628875098.46874</f>
        <v>0.15760993957519531</v>
      </c>
      <c r="AV112" s="3">
        <f t="shared" ref="AV112:AV120" si="91">AU112*1000</f>
        <v>157.60993957519531</v>
      </c>
      <c r="AX112" s="4">
        <f>1628875098.63039-1628875098.46874</f>
        <v>0.16164994239807129</v>
      </c>
      <c r="AY112" s="3">
        <f t="shared" ref="AY112:AY120" si="92">AX112*1000</f>
        <v>161.64994239807129</v>
      </c>
    </row>
    <row r="113" spans="2:51" x14ac:dyDescent="0.3">
      <c r="B113" s="4">
        <f>1628869650.08045-1628869650.07508</f>
        <v>5.3701400756835938E-3</v>
      </c>
      <c r="C113" s="3">
        <f t="shared" si="78"/>
        <v>5.3701400756835938</v>
      </c>
      <c r="E113" s="4">
        <f>1628869650.08117-1628869650.07508</f>
        <v>6.0901641845703125E-3</v>
      </c>
      <c r="F113" s="3">
        <f t="shared" si="79"/>
        <v>6.0901641845703125</v>
      </c>
      <c r="H113" s="4">
        <f>1628869650.08053-1628869650.07508</f>
        <v>5.4500102996826172E-3</v>
      </c>
      <c r="I113" s="3">
        <f t="shared" si="80"/>
        <v>5.4500102996826172</v>
      </c>
      <c r="K113" s="4">
        <f>1628869650.08082-1628869650.07508</f>
        <v>5.7401657104492188E-3</v>
      </c>
      <c r="L113" s="3">
        <f t="shared" si="81"/>
        <v>5.7401657104492188</v>
      </c>
      <c r="N113" s="4">
        <f>1628869650.08076-1628869650.07508</f>
        <v>5.680084228515625E-3</v>
      </c>
      <c r="O113" s="3">
        <f t="shared" si="82"/>
        <v>5.680084228515625</v>
      </c>
      <c r="T113" s="4">
        <f>1628873562.97948-1628873562.87167</f>
        <v>0.10781002044677734</v>
      </c>
      <c r="U113" s="3">
        <f t="shared" si="83"/>
        <v>107.81002044677734</v>
      </c>
      <c r="W113" s="4">
        <f>1628873562.98245-1628873562.87167</f>
        <v>0.11078000068664551</v>
      </c>
      <c r="X113" s="3">
        <f t="shared" si="84"/>
        <v>110.78000068664551</v>
      </c>
      <c r="Z113" s="4">
        <f>1628873562.98458-1628873562.87167</f>
        <v>0.11291003227233887</v>
      </c>
      <c r="AA113" s="3">
        <f t="shared" si="85"/>
        <v>112.91003227233887</v>
      </c>
      <c r="AC113" s="4">
        <f>1628873562.98705-1628873562.87167</f>
        <v>0.11538004875183105</v>
      </c>
      <c r="AD113" s="3">
        <f t="shared" si="86"/>
        <v>115.38004875183105</v>
      </c>
      <c r="AF113" s="4">
        <f>1628873562.98997-1628873562.87167</f>
        <v>0.11829996109008789</v>
      </c>
      <c r="AG113" s="3">
        <f t="shared" si="87"/>
        <v>118.29996109008789</v>
      </c>
      <c r="AL113" s="4">
        <f>1628875099.88732-1628875099.73556</f>
        <v>0.15176010131835938</v>
      </c>
      <c r="AM113" s="3">
        <f t="shared" si="88"/>
        <v>151.76010131835938</v>
      </c>
      <c r="AO113" s="4">
        <f>1628875099.89104-1628875099.73556</f>
        <v>0.15548014640808105</v>
      </c>
      <c r="AP113" s="3">
        <f t="shared" si="89"/>
        <v>155.48014640808105</v>
      </c>
      <c r="AR113" s="4">
        <f>1628875099.89427-1628875099.73556</f>
        <v>0.15871000289916992</v>
      </c>
      <c r="AS113" s="3">
        <f t="shared" si="90"/>
        <v>158.71000289916992</v>
      </c>
      <c r="AU113" s="4">
        <f>1628875099.89824-1628875099.73556</f>
        <v>0.16268014907836914</v>
      </c>
      <c r="AV113" s="3">
        <f t="shared" si="91"/>
        <v>162.68014907836914</v>
      </c>
      <c r="AX113" s="4">
        <f>1628875099.90247-1628875099.73556</f>
        <v>0.16691017150878906</v>
      </c>
      <c r="AY113" s="3">
        <f t="shared" si="92"/>
        <v>166.91017150878906</v>
      </c>
    </row>
    <row r="114" spans="2:51" x14ac:dyDescent="0.3">
      <c r="B114" s="4">
        <f>1628869651.08781-1628869651.0824</f>
        <v>5.4099559783935547E-3</v>
      </c>
      <c r="C114" s="3">
        <f t="shared" si="78"/>
        <v>5.4099559783935547</v>
      </c>
      <c r="E114" s="4">
        <f>1628869651.08826-1628869651.0824</f>
        <v>5.8598518371582031E-3</v>
      </c>
      <c r="F114" s="3">
        <f t="shared" si="79"/>
        <v>5.8598518371582031</v>
      </c>
      <c r="H114" s="4">
        <f>1628869651.08783-1628869651.0824</f>
        <v>5.4299831390380859E-3</v>
      </c>
      <c r="I114" s="3">
        <f t="shared" si="80"/>
        <v>5.4299831390380859</v>
      </c>
      <c r="K114" s="4">
        <f>1628869651.08815-1628869651.0824</f>
        <v>5.7499408721923828E-3</v>
      </c>
      <c r="L114" s="3">
        <f t="shared" si="81"/>
        <v>5.7499408721923828</v>
      </c>
      <c r="N114" s="4">
        <f>1628869651.08867-1628869651.0824</f>
        <v>6.2699317932128906E-3</v>
      </c>
      <c r="O114" s="3">
        <f t="shared" si="82"/>
        <v>6.2699317932128906</v>
      </c>
      <c r="T114" s="4">
        <f>1628873564.22688-1628873564.07584</f>
        <v>0.15104007720947266</v>
      </c>
      <c r="U114" s="3">
        <f t="shared" si="83"/>
        <v>151.04007720947266</v>
      </c>
      <c r="W114" s="4">
        <f>1628873564.23117-1628873564.07584</f>
        <v>0.15532994270324707</v>
      </c>
      <c r="X114" s="3">
        <f t="shared" si="84"/>
        <v>155.32994270324707</v>
      </c>
      <c r="Z114" s="4">
        <f>1628873564.23509-1628873564.07584</f>
        <v>0.15925002098083496</v>
      </c>
      <c r="AA114" s="3">
        <f t="shared" si="85"/>
        <v>159.25002098083496</v>
      </c>
      <c r="AC114" s="4">
        <f>1628873564.23855-1628873564.07584</f>
        <v>0.16270995140075684</v>
      </c>
      <c r="AD114" s="3">
        <f t="shared" si="86"/>
        <v>162.70995140075684</v>
      </c>
      <c r="AF114" s="4">
        <f>1628873564.24308-1628873564.07584</f>
        <v>0.16723990440368652</v>
      </c>
      <c r="AG114" s="3">
        <f t="shared" si="87"/>
        <v>167.23990440368652</v>
      </c>
      <c r="AL114" s="4">
        <f>1628875101.14873-1628875101.00213</f>
        <v>0.14660000801086426</v>
      </c>
      <c r="AM114" s="3">
        <f t="shared" si="88"/>
        <v>146.60000801086426</v>
      </c>
      <c r="AO114" s="4">
        <f>1628875101.15309-1628875101.00213</f>
        <v>0.15095996856689453</v>
      </c>
      <c r="AP114" s="3">
        <f t="shared" si="89"/>
        <v>150.95996856689453</v>
      </c>
      <c r="AR114" s="4">
        <f>1628875101.15699-1628875101.00213</f>
        <v>0.15486001968383789</v>
      </c>
      <c r="AS114" s="3">
        <f t="shared" si="90"/>
        <v>154.86001968383789</v>
      </c>
      <c r="AU114" s="4">
        <f>1628875101.16028-1628875101.00213</f>
        <v>0.15814995765686035</v>
      </c>
      <c r="AV114" s="3">
        <f t="shared" si="91"/>
        <v>158.14995765686035</v>
      </c>
      <c r="AX114" s="4">
        <f>1628875101.16485-1628875101.00213</f>
        <v>0.1627199649810791</v>
      </c>
      <c r="AY114" s="3">
        <f t="shared" si="92"/>
        <v>162.7199649810791</v>
      </c>
    </row>
    <row r="115" spans="2:51" x14ac:dyDescent="0.3">
      <c r="B115" s="4">
        <f>1628869652.09496-1628869652.08963</f>
        <v>5.3300857543945313E-3</v>
      </c>
      <c r="C115" s="3">
        <f t="shared" si="78"/>
        <v>5.3300857543945313</v>
      </c>
      <c r="E115" s="4">
        <f>1628869652.09526-1628869652.08963</f>
        <v>5.6300163269042969E-3</v>
      </c>
      <c r="F115" s="3">
        <f t="shared" si="79"/>
        <v>5.6300163269042969</v>
      </c>
      <c r="H115" s="4">
        <f>1628869652.095-1628869652.08963</f>
        <v>5.3701400756835938E-3</v>
      </c>
      <c r="I115" s="3">
        <f t="shared" si="80"/>
        <v>5.3701400756835938</v>
      </c>
      <c r="K115" s="4">
        <f>1628869652.0953-1628869652.08963</f>
        <v>5.6700706481933594E-3</v>
      </c>
      <c r="L115" s="3">
        <f t="shared" si="81"/>
        <v>5.6700706481933594</v>
      </c>
      <c r="N115" s="4">
        <f>1628869652.09573-1628869652.08963</f>
        <v>6.1001777648925781E-3</v>
      </c>
      <c r="O115" s="3">
        <f t="shared" si="82"/>
        <v>6.1001777648925781</v>
      </c>
      <c r="T115" s="4">
        <f>1628873565.49966-1628873565.35344</f>
        <v>0.14621996879577637</v>
      </c>
      <c r="U115" s="3">
        <f t="shared" si="83"/>
        <v>146.21996879577637</v>
      </c>
      <c r="W115" s="4">
        <f>1628873565.50389-1628873565.35344</f>
        <v>0.15044999122619629</v>
      </c>
      <c r="X115" s="3">
        <f t="shared" si="84"/>
        <v>150.44999122619629</v>
      </c>
      <c r="Z115" s="4">
        <f>1628873565.50841-1628873565.35344</f>
        <v>0.15496993064880371</v>
      </c>
      <c r="AA115" s="3">
        <f t="shared" si="85"/>
        <v>154.96993064880371</v>
      </c>
      <c r="AC115" s="4">
        <f>1628873565.51217-1628873565.35344</f>
        <v>0.15873003005981445</v>
      </c>
      <c r="AD115" s="3">
        <f t="shared" si="86"/>
        <v>158.73003005981445</v>
      </c>
      <c r="AF115" s="4">
        <f>1628873565.5152-1628873565.35344</f>
        <v>0.16175985336303711</v>
      </c>
      <c r="AG115" s="3">
        <f t="shared" si="87"/>
        <v>161.75985336303711</v>
      </c>
      <c r="AL115" s="4">
        <f>1628875102.42175-1628875102.26671</f>
        <v>0.15504002571105957</v>
      </c>
      <c r="AM115" s="3">
        <f t="shared" si="88"/>
        <v>155.04002571105957</v>
      </c>
      <c r="AO115" s="4">
        <f>1628875102.42598-1628875102.26671</f>
        <v>0.15927004814147949</v>
      </c>
      <c r="AP115" s="3">
        <f t="shared" si="89"/>
        <v>159.27004814147949</v>
      </c>
      <c r="AR115" s="4">
        <f>1628875102.42974-1628875102.26671</f>
        <v>0.16302990913391113</v>
      </c>
      <c r="AS115" s="3">
        <f t="shared" si="90"/>
        <v>163.02990913391113</v>
      </c>
      <c r="AU115" s="4">
        <f>1628875102.43439-1628875102.26671</f>
        <v>0.16768002510070801</v>
      </c>
      <c r="AV115" s="3">
        <f t="shared" si="91"/>
        <v>167.68002510070801</v>
      </c>
      <c r="AX115" s="4">
        <f>1628875102.4387-1628875102.26671</f>
        <v>0.17198991775512695</v>
      </c>
      <c r="AY115" s="3">
        <f t="shared" si="92"/>
        <v>171.98991775512695</v>
      </c>
    </row>
    <row r="116" spans="2:51" x14ac:dyDescent="0.3">
      <c r="B116" s="4">
        <f>1628869653.10159-1628869653.09703</f>
        <v>4.5599937438964844E-3</v>
      </c>
      <c r="C116" s="3">
        <f t="shared" si="78"/>
        <v>4.5599937438964844</v>
      </c>
      <c r="E116" s="4">
        <f>1628869653.1017-1628869653.09703</f>
        <v>4.6701431274414063E-3</v>
      </c>
      <c r="F116" s="3">
        <f t="shared" si="79"/>
        <v>4.6701431274414063</v>
      </c>
      <c r="H116" s="4">
        <f>1628869653.10153-1628869653.09703</f>
        <v>4.5001506805419922E-3</v>
      </c>
      <c r="I116" s="3">
        <f t="shared" si="80"/>
        <v>4.5001506805419922</v>
      </c>
      <c r="K116" s="4">
        <f>1628869653.10193-1628869653.09703</f>
        <v>4.8999786376953125E-3</v>
      </c>
      <c r="L116" s="3">
        <f t="shared" si="81"/>
        <v>4.8999786376953125</v>
      </c>
      <c r="N116" s="4">
        <f>1628869653.10229-1628869653.09703</f>
        <v>5.2599906921386719E-3</v>
      </c>
      <c r="O116" s="3">
        <f t="shared" si="82"/>
        <v>5.2599906921386719</v>
      </c>
      <c r="T116" s="4">
        <f>1628873566.76867-1628873566.62751</f>
        <v>0.14116001129150391</v>
      </c>
      <c r="U116" s="3">
        <f t="shared" si="83"/>
        <v>141.16001129150391</v>
      </c>
      <c r="W116" s="4">
        <f>1628873566.77289-1628873566.62751</f>
        <v>0.14538002014160156</v>
      </c>
      <c r="X116" s="3">
        <f t="shared" si="84"/>
        <v>145.38002014160156</v>
      </c>
      <c r="Z116" s="4">
        <f>1628873566.77707-1628873566.62751</f>
        <v>0.14955997467041016</v>
      </c>
      <c r="AA116" s="3">
        <f t="shared" si="85"/>
        <v>149.55997467041016</v>
      </c>
      <c r="AC116" s="4">
        <f>1628873566.78071-1628873566.62751</f>
        <v>0.15319991111755371</v>
      </c>
      <c r="AD116" s="3">
        <f t="shared" si="86"/>
        <v>153.19991111755371</v>
      </c>
      <c r="AF116" s="4">
        <f>1628873566.78507-1628873566.62751</f>
        <v>0.15755987167358398</v>
      </c>
      <c r="AG116" s="3">
        <f t="shared" si="87"/>
        <v>157.55987167358398</v>
      </c>
      <c r="AL116" s="4">
        <f>1628875103.69012-1628875103.5344</f>
        <v>0.15571999549865723</v>
      </c>
      <c r="AM116" s="3">
        <f t="shared" si="88"/>
        <v>155.71999549865723</v>
      </c>
      <c r="AO116" s="4">
        <f>1628875103.69435-1628875103.5344</f>
        <v>0.15995001792907715</v>
      </c>
      <c r="AP116" s="3">
        <f t="shared" si="89"/>
        <v>159.95001792907715</v>
      </c>
      <c r="AR116" s="4">
        <f>1628875103.6982-1628875103.5344</f>
        <v>0.16380000114440918</v>
      </c>
      <c r="AS116" s="3">
        <f t="shared" si="90"/>
        <v>163.80000114440918</v>
      </c>
      <c r="AU116" s="4">
        <f>1628875103.70251-1628875103.5344</f>
        <v>0.16811013221740723</v>
      </c>
      <c r="AV116" s="3">
        <f t="shared" si="91"/>
        <v>168.11013221740723</v>
      </c>
      <c r="AX116" s="4">
        <f>1628875103.70621-1628875103.5344</f>
        <v>0.17180991172790527</v>
      </c>
      <c r="AY116" s="3">
        <f t="shared" si="92"/>
        <v>171.80991172790527</v>
      </c>
    </row>
    <row r="117" spans="2:51" x14ac:dyDescent="0.3">
      <c r="B117" s="4">
        <f>1628869654.10864-1628869654.10327</f>
        <v>5.3699016571044922E-3</v>
      </c>
      <c r="C117" s="3">
        <f t="shared" si="78"/>
        <v>5.3699016571044922</v>
      </c>
      <c r="E117" s="4">
        <f>1628869654.10907-1628869654.10327</f>
        <v>5.8000087738037109E-3</v>
      </c>
      <c r="F117" s="3">
        <f t="shared" si="79"/>
        <v>5.8000087738037109</v>
      </c>
      <c r="H117" s="4">
        <f>1628869654.10868-1628869654.10327</f>
        <v>5.4099559783935547E-3</v>
      </c>
      <c r="I117" s="3">
        <f t="shared" si="80"/>
        <v>5.4099559783935547</v>
      </c>
      <c r="K117" s="4">
        <f>1628869654.10948-1628869654.10327</f>
        <v>6.2098503112792969E-3</v>
      </c>
      <c r="L117" s="3">
        <f t="shared" si="81"/>
        <v>6.2098503112792969</v>
      </c>
      <c r="N117" s="4">
        <f>1628869654.10988-1628869654.10327</f>
        <v>6.6099166870117188E-3</v>
      </c>
      <c r="O117" s="3">
        <f t="shared" si="82"/>
        <v>6.6099166870117188</v>
      </c>
      <c r="T117" s="4">
        <f>1628873568.03787-1628873567.88822</f>
        <v>0.14964985847473145</v>
      </c>
      <c r="U117" s="3">
        <f t="shared" si="83"/>
        <v>149.64985847473145</v>
      </c>
      <c r="W117" s="4">
        <f>1628873568.04158-1628873567.88822</f>
        <v>0.15335988998413086</v>
      </c>
      <c r="X117" s="3">
        <f t="shared" si="84"/>
        <v>153.35988998413086</v>
      </c>
      <c r="Z117" s="4">
        <f>1628873568.04591-1628873567.88822</f>
        <v>0.15768980979919434</v>
      </c>
      <c r="AA117" s="3">
        <f t="shared" si="85"/>
        <v>157.68980979919434</v>
      </c>
      <c r="AC117" s="4">
        <f>1628873568.05016-1628873567.88822</f>
        <v>0.16193985939025879</v>
      </c>
      <c r="AD117" s="3">
        <f t="shared" si="86"/>
        <v>161.93985939025879</v>
      </c>
      <c r="AF117" s="4">
        <f>1628873568.05445-1628873567.88822</f>
        <v>0.1662299633026123</v>
      </c>
      <c r="AG117" s="3">
        <f t="shared" si="87"/>
        <v>166.2299633026123</v>
      </c>
      <c r="AL117" s="4">
        <f>1628875104.96505-1628875104.81043</f>
        <v>0.15461993217468262</v>
      </c>
      <c r="AM117" s="3">
        <f t="shared" si="88"/>
        <v>154.61993217468262</v>
      </c>
      <c r="AO117" s="4">
        <f>1628875104.96884-1628875104.81043</f>
        <v>0.15840983390808105</v>
      </c>
      <c r="AP117" s="3">
        <f t="shared" si="89"/>
        <v>158.40983390808105</v>
      </c>
      <c r="AR117" s="4">
        <f>1628875104.97282-1628875104.81043</f>
        <v>0.16238999366760254</v>
      </c>
      <c r="AS117" s="3">
        <f t="shared" si="90"/>
        <v>162.38999366760254</v>
      </c>
      <c r="AU117" s="4">
        <f>1628875104.97595-1628875104.81043</f>
        <v>0.16551995277404785</v>
      </c>
      <c r="AV117" s="3">
        <f t="shared" si="91"/>
        <v>165.51995277404785</v>
      </c>
      <c r="AX117" s="4">
        <f>1628875104.97993-1628875104.81043</f>
        <v>0.16949987411499023</v>
      </c>
      <c r="AY117" s="3">
        <f t="shared" si="92"/>
        <v>169.49987411499023</v>
      </c>
    </row>
    <row r="118" spans="2:51" x14ac:dyDescent="0.3">
      <c r="B118" s="4">
        <f>1628869655.11589-1628869655.11052</f>
        <v>5.3701400756835938E-3</v>
      </c>
      <c r="C118" s="3">
        <f t="shared" si="78"/>
        <v>5.3701400756835938</v>
      </c>
      <c r="E118" s="4">
        <f>1628869655.11632-1628869655.11052</f>
        <v>5.8000087738037109E-3</v>
      </c>
      <c r="F118" s="3">
        <f t="shared" si="79"/>
        <v>5.8000087738037109</v>
      </c>
      <c r="H118" s="4">
        <f>1628869655.11593-1628869655.11052</f>
        <v>5.4101943969726563E-3</v>
      </c>
      <c r="I118" s="3">
        <f t="shared" si="80"/>
        <v>5.4101943969726563</v>
      </c>
      <c r="K118" s="4">
        <f>1628869655.11672-1628869655.11052</f>
        <v>6.2000751495361328E-3</v>
      </c>
      <c r="L118" s="3">
        <f t="shared" si="81"/>
        <v>6.2000751495361328</v>
      </c>
      <c r="N118" s="4">
        <f>1628869655.11713-1628869655.11052</f>
        <v>6.6101551055908203E-3</v>
      </c>
      <c r="O118" s="3">
        <f t="shared" si="82"/>
        <v>6.6101551055908203</v>
      </c>
      <c r="T118" s="4">
        <f>1628873569.29948-1628873569.15379</f>
        <v>0.14568996429443359</v>
      </c>
      <c r="U118" s="3">
        <f t="shared" si="83"/>
        <v>145.68996429443359</v>
      </c>
      <c r="W118" s="4">
        <f>1628873569.30308-1628873569.15379</f>
        <v>0.14929008483886719</v>
      </c>
      <c r="X118" s="3">
        <f t="shared" si="84"/>
        <v>149.29008483886719</v>
      </c>
      <c r="Z118" s="4">
        <f>1628873569.30707-1628873569.15379</f>
        <v>0.15328001976013184</v>
      </c>
      <c r="AA118" s="3">
        <f t="shared" si="85"/>
        <v>153.28001976013184</v>
      </c>
      <c r="AC118" s="4">
        <f>1628873569.31145-1628873569.15379</f>
        <v>0.15766000747680664</v>
      </c>
      <c r="AD118" s="3">
        <f t="shared" si="86"/>
        <v>157.66000747680664</v>
      </c>
      <c r="AF118" s="4">
        <f>1628873569.3151-1628873569.15379</f>
        <v>0.16130995750427246</v>
      </c>
      <c r="AG118" s="3">
        <f t="shared" si="87"/>
        <v>161.30995750427246</v>
      </c>
      <c r="AL118" s="4">
        <f>1628875106.22427-1628875106.07662</f>
        <v>0.14765000343322754</v>
      </c>
      <c r="AM118" s="3">
        <f t="shared" si="88"/>
        <v>147.65000343322754</v>
      </c>
      <c r="AO118" s="4">
        <f>1628875106.22882-1628875106.07662</f>
        <v>0.15219998359680176</v>
      </c>
      <c r="AP118" s="3">
        <f t="shared" si="89"/>
        <v>152.19998359680176</v>
      </c>
      <c r="AR118" s="4">
        <f>1628875106.23311-1628875106.07662</f>
        <v>0.15648984909057617</v>
      </c>
      <c r="AS118" s="3">
        <f t="shared" si="90"/>
        <v>156.48984909057617</v>
      </c>
      <c r="AU118" s="4">
        <f>1628875106.23766-1628875106.07662</f>
        <v>0.16103982925415039</v>
      </c>
      <c r="AV118" s="3">
        <f t="shared" si="91"/>
        <v>161.03982925415039</v>
      </c>
      <c r="AX118" s="4">
        <f>1628875106.24243-1628875106.07662</f>
        <v>0.16580986976623535</v>
      </c>
      <c r="AY118" s="3">
        <f t="shared" si="92"/>
        <v>165.80986976623535</v>
      </c>
    </row>
    <row r="119" spans="2:51" x14ac:dyDescent="0.3">
      <c r="B119" s="4">
        <f>1628869656.1232-1628869656.11783</f>
        <v>5.3699016571044922E-3</v>
      </c>
      <c r="C119" s="3">
        <f t="shared" si="78"/>
        <v>5.3699016571044922</v>
      </c>
      <c r="E119" s="4">
        <f>1628869656.12356-1628869656.11783</f>
        <v>5.7299137115478516E-3</v>
      </c>
      <c r="F119" s="3">
        <f t="shared" si="79"/>
        <v>5.7299137115478516</v>
      </c>
      <c r="H119" s="4">
        <f>1628869656.12323-1628869656.11783</f>
        <v>5.3999423980712891E-3</v>
      </c>
      <c r="I119" s="3">
        <f t="shared" si="80"/>
        <v>5.3999423980712891</v>
      </c>
      <c r="K119" s="4">
        <f>1628869656.12393-1628869656.11783</f>
        <v>6.0999393463134766E-3</v>
      </c>
      <c r="L119" s="3">
        <f t="shared" si="81"/>
        <v>6.0999393463134766</v>
      </c>
      <c r="N119" s="4">
        <f>1628869656.12436-1628869656.11783</f>
        <v>6.5300464630126953E-3</v>
      </c>
      <c r="O119" s="3">
        <f t="shared" si="82"/>
        <v>6.5300464630126953</v>
      </c>
      <c r="T119" s="4">
        <f>1628873570.56889-1628873570.42245</f>
        <v>0.14644002914428711</v>
      </c>
      <c r="U119" s="3">
        <f t="shared" si="83"/>
        <v>146.44002914428711</v>
      </c>
      <c r="W119" s="4">
        <f>1628873570.57357-1628873570.42245</f>
        <v>0.15111994743347168</v>
      </c>
      <c r="X119" s="3">
        <f t="shared" si="84"/>
        <v>151.11994743347168</v>
      </c>
      <c r="Z119" s="4">
        <f>1628873570.5778-1628873570.42245</f>
        <v>0.1553499698638916</v>
      </c>
      <c r="AA119" s="3">
        <f t="shared" si="85"/>
        <v>155.3499698638916</v>
      </c>
      <c r="AC119" s="4">
        <f>1628873570.58223-1628873570.42245</f>
        <v>0.15978002548217773</v>
      </c>
      <c r="AD119" s="3">
        <f t="shared" si="86"/>
        <v>159.78002548217773</v>
      </c>
      <c r="AF119" s="4">
        <f>1628873570.58639-1628873570.42245</f>
        <v>0.1639399528503418</v>
      </c>
      <c r="AG119" s="3">
        <f t="shared" si="87"/>
        <v>163.9399528503418</v>
      </c>
      <c r="AL119" s="4">
        <f>1628875107.49429-1628875107.34241</f>
        <v>0.15188002586364746</v>
      </c>
      <c r="AM119" s="3">
        <f t="shared" si="88"/>
        <v>151.88002586364746</v>
      </c>
      <c r="AO119" s="4">
        <f>1628875107.49831-1628875107.34241</f>
        <v>0.15590000152587891</v>
      </c>
      <c r="AP119" s="3">
        <f t="shared" si="89"/>
        <v>155.90000152587891</v>
      </c>
      <c r="AR119" s="4">
        <f>1628875107.50292-1628875107.34241</f>
        <v>0.16050982475280762</v>
      </c>
      <c r="AS119" s="3">
        <f t="shared" si="90"/>
        <v>160.50982475280762</v>
      </c>
      <c r="AU119" s="4">
        <f>1628875107.50675-1628875107.34241</f>
        <v>0.16434001922607422</v>
      </c>
      <c r="AV119" s="3">
        <f t="shared" si="91"/>
        <v>164.34001922607422</v>
      </c>
      <c r="AX119" s="4">
        <f>1628875107.51074-1628875107.34241</f>
        <v>0.16832995414733887</v>
      </c>
      <c r="AY119" s="3">
        <f t="shared" si="92"/>
        <v>168.32995414733887</v>
      </c>
    </row>
    <row r="120" spans="2:51" x14ac:dyDescent="0.3">
      <c r="B120" s="4">
        <f>1628869657.1303-1628869657.12504</f>
        <v>5.2599906921386719E-3</v>
      </c>
      <c r="C120" s="3">
        <f t="shared" si="78"/>
        <v>5.2599906921386719</v>
      </c>
      <c r="E120" s="4">
        <f>1628869657.13098-1628869657.12504</f>
        <v>5.9399604797363281E-3</v>
      </c>
      <c r="F120" s="3">
        <f t="shared" si="79"/>
        <v>5.9399604797363281</v>
      </c>
      <c r="H120" s="4">
        <f>1628869657.13035-1628869657.12504</f>
        <v>5.31005859375E-3</v>
      </c>
      <c r="I120" s="3">
        <f t="shared" si="80"/>
        <v>5.31005859375</v>
      </c>
      <c r="K120" s="4">
        <f>1628869657.13439-1628869657.12504</f>
        <v>9.3500614166259766E-3</v>
      </c>
      <c r="L120" s="3">
        <f t="shared" si="81"/>
        <v>9.3500614166259766</v>
      </c>
      <c r="N120" s="4">
        <f>1628869657.13453-1628869657.12504</f>
        <v>9.4900131225585938E-3</v>
      </c>
      <c r="O120" s="3">
        <f t="shared" si="82"/>
        <v>9.4900131225585938</v>
      </c>
      <c r="T120" s="4">
        <f>1628873571.83501-1628873571.69399</f>
        <v>0.14102005958557129</v>
      </c>
      <c r="U120" s="3">
        <f t="shared" si="83"/>
        <v>141.02005958557129</v>
      </c>
      <c r="W120" s="4">
        <f>1628873571.83897-1628873571.69399</f>
        <v>0.14497995376586914</v>
      </c>
      <c r="X120" s="3">
        <f t="shared" si="84"/>
        <v>144.97995376586914</v>
      </c>
      <c r="Z120" s="4">
        <f>1628873571.84313-1628873571.69399</f>
        <v>0.1491401195526123</v>
      </c>
      <c r="AA120" s="3">
        <f t="shared" si="85"/>
        <v>149.1401195526123</v>
      </c>
      <c r="AC120" s="4">
        <f>1628873571.8479-1628873571.69399</f>
        <v>0.15390992164611816</v>
      </c>
      <c r="AD120" s="3">
        <f t="shared" si="86"/>
        <v>153.90992164611816</v>
      </c>
      <c r="AF120" s="4">
        <f>1628873571.85258-1628873571.69399</f>
        <v>0.15859007835388184</v>
      </c>
      <c r="AG120" s="3">
        <f t="shared" si="87"/>
        <v>158.59007835388184</v>
      </c>
      <c r="AL120" s="4">
        <f>1628875108.7571-1628875108.6092</f>
        <v>0.14790010452270508</v>
      </c>
      <c r="AM120" s="3">
        <f t="shared" si="88"/>
        <v>147.90010452270508</v>
      </c>
      <c r="AO120" s="4">
        <f>1628875108.76123-1628875108.6092</f>
        <v>0.15202999114990234</v>
      </c>
      <c r="AP120" s="3">
        <f t="shared" si="89"/>
        <v>152.02999114990234</v>
      </c>
      <c r="AR120" s="4">
        <f>1628875108.76594-1628875108.6092</f>
        <v>0.15673995018005371</v>
      </c>
      <c r="AS120" s="3">
        <f t="shared" si="90"/>
        <v>156.73995018005371</v>
      </c>
      <c r="AU120" s="4">
        <f>1628875108.76972-1628875108.6092</f>
        <v>0.16052007675170898</v>
      </c>
      <c r="AV120" s="3">
        <f t="shared" si="91"/>
        <v>160.52007675170898</v>
      </c>
      <c r="AX120" s="4">
        <f>1628875108.77492-1628875108.6092</f>
        <v>0.16571998596191406</v>
      </c>
      <c r="AY120" s="3">
        <f t="shared" si="92"/>
        <v>165.71998596191406</v>
      </c>
    </row>
    <row r="121" spans="2:51" x14ac:dyDescent="0.3">
      <c r="C121" s="2">
        <f>AVERAGE(C111:C120)</f>
        <v>5.3060054779052734</v>
      </c>
      <c r="F121" s="2">
        <f>AVERAGE(F111:F120)</f>
        <v>5.7670116424560547</v>
      </c>
      <c r="I121" s="2">
        <f>AVERAGE(I111:I120)</f>
        <v>5.4700374603271484</v>
      </c>
      <c r="L121" s="2">
        <f>AVERAGE(L111:L120)</f>
        <v>6.1249971389770508</v>
      </c>
      <c r="O121" s="2">
        <f>AVERAGE(O111:O120)</f>
        <v>6.4710378646850586</v>
      </c>
      <c r="U121" s="2">
        <f>AVERAGE(U111:U120)</f>
        <v>142.39299297332764</v>
      </c>
      <c r="X121" s="2">
        <f>AVERAGE(X111:X120)</f>
        <v>146.29898071289063</v>
      </c>
      <c r="AA121" s="2">
        <f>AVERAGE(AA111:AA120)</f>
        <v>150.24898052215576</v>
      </c>
      <c r="AD121" s="2">
        <f>AVERAGE(AD111:AD120)</f>
        <v>154.22098636627197</v>
      </c>
      <c r="AG121" s="2">
        <f>AVERAGE(AG111:AG120)</f>
        <v>158.26494693756104</v>
      </c>
      <c r="AM121" s="2">
        <f>AVERAGE(AM111:AM120)</f>
        <v>150.40900707244873</v>
      </c>
      <c r="AP121" s="2">
        <f>AVERAGE(AP111:AP120)</f>
        <v>154.4299840927124</v>
      </c>
      <c r="AS121" s="2">
        <f>AVERAGE(AS111:AS120)</f>
        <v>158.38994979858398</v>
      </c>
      <c r="AV121" s="2">
        <f>AVERAGE(AV111:AV120)</f>
        <v>162.23900318145752</v>
      </c>
      <c r="AY121" s="2">
        <f>AVERAGE(AY111:AY120)</f>
        <v>166.59395694732666</v>
      </c>
    </row>
    <row r="123" spans="2:51" x14ac:dyDescent="0.3">
      <c r="B123" s="6" t="s">
        <v>52</v>
      </c>
      <c r="C123" s="6"/>
      <c r="E123" s="6" t="s">
        <v>53</v>
      </c>
      <c r="F123" s="6"/>
      <c r="H123" s="6" t="s">
        <v>54</v>
      </c>
      <c r="I123" s="6"/>
      <c r="K123" s="6" t="s">
        <v>55</v>
      </c>
      <c r="L123" s="6"/>
      <c r="N123" s="6" t="s">
        <v>56</v>
      </c>
      <c r="O123" s="6"/>
      <c r="T123" s="6" t="s">
        <v>52</v>
      </c>
      <c r="U123" s="6"/>
      <c r="W123" s="6" t="s">
        <v>53</v>
      </c>
      <c r="X123" s="6"/>
      <c r="Z123" s="6" t="s">
        <v>54</v>
      </c>
      <c r="AA123" s="6"/>
      <c r="AC123" s="6" t="s">
        <v>55</v>
      </c>
      <c r="AD123" s="6"/>
      <c r="AF123" s="6" t="s">
        <v>56</v>
      </c>
      <c r="AG123" s="6"/>
      <c r="AL123" s="6" t="s">
        <v>52</v>
      </c>
      <c r="AM123" s="6"/>
      <c r="AO123" s="6" t="s">
        <v>53</v>
      </c>
      <c r="AP123" s="6"/>
      <c r="AR123" s="6" t="s">
        <v>54</v>
      </c>
      <c r="AS123" s="6"/>
      <c r="AU123" s="6" t="s">
        <v>55</v>
      </c>
      <c r="AV123" s="6"/>
      <c r="AX123" s="6" t="s">
        <v>56</v>
      </c>
      <c r="AY123" s="6"/>
    </row>
    <row r="124" spans="2:51" ht="36" customHeight="1" x14ac:dyDescent="0.3">
      <c r="B124" s="8" t="s">
        <v>2</v>
      </c>
      <c r="C124" s="8"/>
      <c r="E124" s="8" t="s">
        <v>2</v>
      </c>
      <c r="F124" s="8"/>
      <c r="H124" s="8" t="s">
        <v>2</v>
      </c>
      <c r="I124" s="8"/>
      <c r="K124" s="8" t="s">
        <v>2</v>
      </c>
      <c r="L124" s="8"/>
      <c r="N124" s="8" t="s">
        <v>2</v>
      </c>
      <c r="O124" s="8"/>
      <c r="T124" s="8" t="s">
        <v>62</v>
      </c>
      <c r="U124" s="8"/>
      <c r="W124" s="8" t="s">
        <v>62</v>
      </c>
      <c r="X124" s="8"/>
      <c r="Z124" s="8" t="s">
        <v>62</v>
      </c>
      <c r="AA124" s="8"/>
      <c r="AC124" s="8" t="s">
        <v>62</v>
      </c>
      <c r="AD124" s="8"/>
      <c r="AF124" s="8" t="s">
        <v>62</v>
      </c>
      <c r="AG124" s="8"/>
      <c r="AL124" s="8" t="s">
        <v>63</v>
      </c>
      <c r="AM124" s="8"/>
      <c r="AO124" s="8" t="s">
        <v>63</v>
      </c>
      <c r="AP124" s="8"/>
      <c r="AR124" s="8" t="s">
        <v>63</v>
      </c>
      <c r="AS124" s="8"/>
      <c r="AU124" s="8" t="s">
        <v>63</v>
      </c>
      <c r="AV124" s="8"/>
      <c r="AX124" s="8" t="s">
        <v>63</v>
      </c>
      <c r="AY124" s="8"/>
    </row>
    <row r="125" spans="2:51" x14ac:dyDescent="0.3">
      <c r="B125" s="1" t="s">
        <v>1</v>
      </c>
      <c r="C125" s="1" t="s">
        <v>0</v>
      </c>
      <c r="E125" s="1" t="s">
        <v>1</v>
      </c>
      <c r="F125" s="1" t="s">
        <v>0</v>
      </c>
      <c r="H125" s="1" t="s">
        <v>1</v>
      </c>
      <c r="I125" s="1" t="s">
        <v>0</v>
      </c>
      <c r="K125" s="1" t="s">
        <v>1</v>
      </c>
      <c r="L125" s="1" t="s">
        <v>0</v>
      </c>
      <c r="N125" s="1" t="s">
        <v>1</v>
      </c>
      <c r="O125" s="1" t="s">
        <v>0</v>
      </c>
      <c r="T125" s="1" t="s">
        <v>1</v>
      </c>
      <c r="U125" s="1" t="s">
        <v>0</v>
      </c>
      <c r="W125" s="1" t="s">
        <v>1</v>
      </c>
      <c r="X125" s="1" t="s">
        <v>0</v>
      </c>
      <c r="Z125" s="1" t="s">
        <v>1</v>
      </c>
      <c r="AA125" s="1" t="s">
        <v>0</v>
      </c>
      <c r="AC125" s="1" t="s">
        <v>1</v>
      </c>
      <c r="AD125" s="1" t="s">
        <v>0</v>
      </c>
      <c r="AF125" s="1" t="s">
        <v>1</v>
      </c>
      <c r="AG125" s="1" t="s">
        <v>0</v>
      </c>
      <c r="AL125" s="1" t="s">
        <v>1</v>
      </c>
      <c r="AM125" s="1" t="s">
        <v>0</v>
      </c>
      <c r="AO125" s="1" t="s">
        <v>1</v>
      </c>
      <c r="AP125" s="1" t="s">
        <v>0</v>
      </c>
      <c r="AR125" s="1" t="s">
        <v>1</v>
      </c>
      <c r="AS125" s="1" t="s">
        <v>0</v>
      </c>
      <c r="AU125" s="1" t="s">
        <v>1</v>
      </c>
      <c r="AV125" s="1" t="s">
        <v>0</v>
      </c>
      <c r="AX125" s="1" t="s">
        <v>1</v>
      </c>
      <c r="AY125" s="1" t="s">
        <v>0</v>
      </c>
    </row>
    <row r="126" spans="2:51" x14ac:dyDescent="0.3">
      <c r="B126" s="4">
        <f>1628869648.06752-1628869648.06002</f>
        <v>7.4999332427978516E-3</v>
      </c>
      <c r="C126" s="3">
        <f>B126*1000</f>
        <v>7.4999332427978516</v>
      </c>
      <c r="E126" s="4">
        <f>1628869648.06789-1628869648.06002</f>
        <v>7.8699588775634766E-3</v>
      </c>
      <c r="F126" s="3">
        <f>E126*1000</f>
        <v>7.8699588775634766</v>
      </c>
      <c r="H126" s="4">
        <f>1628869648.06847-1628869648.06002</f>
        <v>8.4500312805175781E-3</v>
      </c>
      <c r="I126" s="3">
        <f>H126*1000</f>
        <v>8.4500312805175781</v>
      </c>
      <c r="K126" s="4">
        <f>1628869648.0677-1628869648.06002</f>
        <v>7.6799392700195313E-3</v>
      </c>
      <c r="L126" s="3">
        <f>K126*1000</f>
        <v>7.6799392700195313</v>
      </c>
      <c r="N126" s="4">
        <f>1628869648.06897-1628869648.06002</f>
        <v>8.9499950408935547E-3</v>
      </c>
      <c r="O126" s="3">
        <f>N126*1000</f>
        <v>8.9499950408935547</v>
      </c>
      <c r="T126" s="4">
        <f>1628873560.49843-1628873560.32879</f>
        <v>0.16964006423950195</v>
      </c>
      <c r="U126" s="3">
        <f>T126*1000</f>
        <v>169.64006423950195</v>
      </c>
      <c r="W126" s="4">
        <f>1628873560.50296-1628873560.32879</f>
        <v>0.17417001724243164</v>
      </c>
      <c r="X126" s="3">
        <f>W126*1000</f>
        <v>174.17001724243164</v>
      </c>
      <c r="Z126" s="4">
        <f>1628873560.50717-1628873560.32879</f>
        <v>0.17838001251220703</v>
      </c>
      <c r="AA126" s="3">
        <f>Z126*1000</f>
        <v>178.38001251220703</v>
      </c>
      <c r="AC126" s="4">
        <f>1628873560.51186-1628873560.32879</f>
        <v>0.18306994438171387</v>
      </c>
      <c r="AD126" s="3">
        <f>AC126*1000</f>
        <v>183.06994438171387</v>
      </c>
      <c r="AF126" s="4">
        <f>1628873560.51602-1628873560.32879</f>
        <v>0.18723011016845703</v>
      </c>
      <c r="AG126" s="3">
        <f>AF126*1000</f>
        <v>187.23011016845703</v>
      </c>
      <c r="AL126" s="4">
        <f>1628875097.36988-1628875097.20454</f>
        <v>0.16533994674682617</v>
      </c>
      <c r="AM126" s="3">
        <f>AL126*1000</f>
        <v>165.33994674682617</v>
      </c>
      <c r="AO126" s="4">
        <f>1628875097.37415-1628875097.20454</f>
        <v>0.16961002349853516</v>
      </c>
      <c r="AP126" s="3">
        <f>AO126*1000</f>
        <v>169.61002349853516</v>
      </c>
      <c r="AR126" s="4">
        <f>1628875097.37717-1628875097.20454</f>
        <v>0.17263007164001465</v>
      </c>
      <c r="AS126" s="3">
        <f>AR126*1000</f>
        <v>172.63007164001465</v>
      </c>
      <c r="AU126" s="4">
        <f>1628875097.38147-1628875097.20454</f>
        <v>0.17692995071411133</v>
      </c>
      <c r="AV126" s="3">
        <f>AU126*1000</f>
        <v>176.92995071411133</v>
      </c>
      <c r="AX126" s="4">
        <f>1628875097.3858-1628875097.20454</f>
        <v>0.1812598705291748</v>
      </c>
      <c r="AY126" s="3">
        <f>AX126*1000</f>
        <v>181.2598705291748</v>
      </c>
    </row>
    <row r="127" spans="2:51" x14ac:dyDescent="0.3">
      <c r="B127" s="4">
        <f>1628869649.07487-1628869649.06764</f>
        <v>7.2300434112548828E-3</v>
      </c>
      <c r="C127" s="3">
        <f t="shared" ref="C127:C135" si="93">B127*1000</f>
        <v>7.2300434112548828</v>
      </c>
      <c r="E127" s="4">
        <f>1628869649.07536-1628869649.06764</f>
        <v>7.7199935913085938E-3</v>
      </c>
      <c r="F127" s="3">
        <f t="shared" ref="F127:F135" si="94">E127*1000</f>
        <v>7.7199935913085938</v>
      </c>
      <c r="H127" s="4">
        <f>1628869649.07618-1628869649.06764</f>
        <v>8.5399150848388672E-3</v>
      </c>
      <c r="I127" s="3">
        <f t="shared" ref="I127:I135" si="95">H127*1000</f>
        <v>8.5399150848388672</v>
      </c>
      <c r="K127" s="4">
        <f>1628869649.07503-1628869649.06764</f>
        <v>7.3900222778320313E-3</v>
      </c>
      <c r="L127" s="3">
        <f t="shared" ref="L127:L135" si="96">K127*1000</f>
        <v>7.3900222778320313</v>
      </c>
      <c r="N127" s="4">
        <f>1628869649.07573-1628869649.06764</f>
        <v>8.0900192260742188E-3</v>
      </c>
      <c r="O127" s="3">
        <f t="shared" ref="O127:O135" si="97">N127*1000</f>
        <v>8.0900192260742188</v>
      </c>
      <c r="T127" s="4">
        <f>1628873561.76658-1628873561.59871</f>
        <v>0.16787004470825195</v>
      </c>
      <c r="U127" s="3">
        <f t="shared" ref="U127:U135" si="98">T127*1000</f>
        <v>167.87004470825195</v>
      </c>
      <c r="W127" s="4">
        <f>1628873561.77007-1628873561.59871</f>
        <v>0.17136001586914063</v>
      </c>
      <c r="X127" s="3">
        <f t="shared" ref="X127:X135" si="99">W127*1000</f>
        <v>171.36001586914063</v>
      </c>
      <c r="Z127" s="4">
        <f>1628873561.77396-1628873561.59871</f>
        <v>0.17525005340576172</v>
      </c>
      <c r="AA127" s="3">
        <f t="shared" ref="AA127:AA135" si="100">Z127*1000</f>
        <v>175.25005340576172</v>
      </c>
      <c r="AC127" s="4">
        <f>1628873561.77834-1628873561.59871</f>
        <v>0.17963004112243652</v>
      </c>
      <c r="AD127" s="3">
        <f t="shared" ref="AD127:AD135" si="101">AC127*1000</f>
        <v>179.63004112243652</v>
      </c>
      <c r="AF127" s="4">
        <f>1628873561.78242-1628873561.59871</f>
        <v>0.18370985984802246</v>
      </c>
      <c r="AG127" s="3">
        <f t="shared" ref="AG127:AG135" si="102">AF127*1000</f>
        <v>183.70985984802246</v>
      </c>
      <c r="AL127" s="4">
        <f>1628875098.63439-1628875098.46874</f>
        <v>0.1656501293182373</v>
      </c>
      <c r="AM127" s="3">
        <f t="shared" ref="AM127:AM135" si="103">AL127*1000</f>
        <v>165.6501293182373</v>
      </c>
      <c r="AO127" s="4">
        <f>1628875098.63852-1628875098.46874</f>
        <v>0.16978001594543457</v>
      </c>
      <c r="AP127" s="3">
        <f t="shared" ref="AP127:AP135" si="104">AO127*1000</f>
        <v>169.78001594543457</v>
      </c>
      <c r="AR127" s="4">
        <f>1628875098.64203-1628875098.46874</f>
        <v>0.17329001426696777</v>
      </c>
      <c r="AS127" s="3">
        <f t="shared" ref="AS127:AS135" si="105">AR127*1000</f>
        <v>173.29001426696777</v>
      </c>
      <c r="AU127" s="4">
        <f>1628875098.64635-1628875098.46874</f>
        <v>0.17760992050170898</v>
      </c>
      <c r="AV127" s="3">
        <f t="shared" ref="AV127:AV135" si="106">AU127*1000</f>
        <v>177.60992050170898</v>
      </c>
      <c r="AX127" s="4">
        <f>1628875098.65015-1628875098.46874</f>
        <v>0.18141007423400879</v>
      </c>
      <c r="AY127" s="3">
        <f t="shared" ref="AY127:AY135" si="107">AX127*1000</f>
        <v>181.41007423400879</v>
      </c>
    </row>
    <row r="128" spans="2:51" x14ac:dyDescent="0.3">
      <c r="B128" s="4">
        <f>1628869650.08228-1628869650.07508</f>
        <v>7.2000026702880859E-3</v>
      </c>
      <c r="C128" s="3">
        <f t="shared" si="93"/>
        <v>7.2000026702880859</v>
      </c>
      <c r="E128" s="4">
        <f>1628869650.08286-1628869650.07508</f>
        <v>7.7800750732421875E-3</v>
      </c>
      <c r="F128" s="3">
        <f t="shared" si="94"/>
        <v>7.7800750732421875</v>
      </c>
      <c r="H128" s="4">
        <f>1628869650.08367-1628869650.07508</f>
        <v>8.5899829864501953E-3</v>
      </c>
      <c r="I128" s="3">
        <f t="shared" si="95"/>
        <v>8.5899829864501953</v>
      </c>
      <c r="K128" s="4">
        <f>1628869650.08247-1628869650.07508</f>
        <v>7.3900222778320313E-3</v>
      </c>
      <c r="L128" s="3">
        <f t="shared" si="96"/>
        <v>7.3900222778320313</v>
      </c>
      <c r="N128" s="4">
        <f>1628869650.08323-1628869650.07508</f>
        <v>8.1501007080078125E-3</v>
      </c>
      <c r="O128" s="3">
        <f t="shared" si="97"/>
        <v>8.1501007080078125</v>
      </c>
      <c r="T128" s="4">
        <f>1628873562.99369-1628873562.87167</f>
        <v>0.12202000617980957</v>
      </c>
      <c r="U128" s="3">
        <f t="shared" si="98"/>
        <v>122.02000617980957</v>
      </c>
      <c r="W128" s="4">
        <f>1628873562.99641-1628873562.87167</f>
        <v>0.1247398853302002</v>
      </c>
      <c r="X128" s="3">
        <f t="shared" si="99"/>
        <v>124.7398853302002</v>
      </c>
      <c r="Z128" s="4">
        <f>1628873563.00007-1628873562.87167</f>
        <v>0.12840008735656738</v>
      </c>
      <c r="AA128" s="3">
        <f t="shared" si="100"/>
        <v>128.40008735656738</v>
      </c>
      <c r="AC128" s="4">
        <f>1628873563.00312-1628873562.87167</f>
        <v>0.13144993782043457</v>
      </c>
      <c r="AD128" s="3">
        <f t="shared" si="101"/>
        <v>131.44993782043457</v>
      </c>
      <c r="AF128" s="4">
        <f>1628873563.00648-1628873562.87167</f>
        <v>0.13480997085571289</v>
      </c>
      <c r="AG128" s="3">
        <f t="shared" si="102"/>
        <v>134.80997085571289</v>
      </c>
      <c r="AL128" s="4">
        <f>1628875099.90652-1628875099.73556</f>
        <v>0.1709599494934082</v>
      </c>
      <c r="AM128" s="3">
        <f t="shared" si="103"/>
        <v>170.9599494934082</v>
      </c>
      <c r="AO128" s="4">
        <f>1628875099.9108-1628875099.73556</f>
        <v>0.17524003982543945</v>
      </c>
      <c r="AP128" s="3">
        <f t="shared" si="104"/>
        <v>175.24003982543945</v>
      </c>
      <c r="AR128" s="4">
        <f>1628875099.91495-1628875099.73556</f>
        <v>0.17938995361328125</v>
      </c>
      <c r="AS128" s="3">
        <f t="shared" si="105"/>
        <v>179.38995361328125</v>
      </c>
      <c r="AU128" s="4">
        <f>1628875099.91947-1628875099.73556</f>
        <v>0.18391013145446777</v>
      </c>
      <c r="AV128" s="3">
        <f t="shared" si="106"/>
        <v>183.91013145446777</v>
      </c>
      <c r="AX128" s="4">
        <f>1628875099.92333-1628875099.73556</f>
        <v>0.18777012825012207</v>
      </c>
      <c r="AY128" s="3">
        <f t="shared" si="107"/>
        <v>187.77012825012207</v>
      </c>
    </row>
    <row r="129" spans="2:51" x14ac:dyDescent="0.3">
      <c r="B129" s="4">
        <f>1628869651.08958-1628869651.0824</f>
        <v>7.1799755096435547E-3</v>
      </c>
      <c r="C129" s="3">
        <f t="shared" si="93"/>
        <v>7.1799755096435547</v>
      </c>
      <c r="E129" s="4">
        <f>1628869651.09022-1628869651.0824</f>
        <v>7.8198909759521484E-3</v>
      </c>
      <c r="F129" s="3">
        <f t="shared" si="94"/>
        <v>7.8198909759521484</v>
      </c>
      <c r="H129" s="4">
        <f>1628869651.09095-1628869651.0824</f>
        <v>8.5499286651611328E-3</v>
      </c>
      <c r="I129" s="3">
        <f t="shared" si="95"/>
        <v>8.5499286651611328</v>
      </c>
      <c r="K129" s="4">
        <f>1628869651.0897-1628869651.0824</f>
        <v>7.2999000549316406E-3</v>
      </c>
      <c r="L129" s="3">
        <f t="shared" si="96"/>
        <v>7.2999000549316406</v>
      </c>
      <c r="N129" s="4">
        <f>1628869651.09055-1628869651.0824</f>
        <v>8.1498622894287109E-3</v>
      </c>
      <c r="O129" s="3">
        <f t="shared" si="97"/>
        <v>8.1498622894287109</v>
      </c>
      <c r="T129" s="4">
        <f>1628873564.24813-1628873564.07584</f>
        <v>0.17229008674621582</v>
      </c>
      <c r="U129" s="3">
        <f t="shared" si="98"/>
        <v>172.29008674621582</v>
      </c>
      <c r="W129" s="4">
        <f>1628873564.25221-1628873564.07584</f>
        <v>0.17636990547180176</v>
      </c>
      <c r="X129" s="3">
        <f t="shared" si="99"/>
        <v>176.36990547180176</v>
      </c>
      <c r="Z129" s="4">
        <f>1628873564.25638-1628873564.07584</f>
        <v>0.18054008483886719</v>
      </c>
      <c r="AA129" s="3">
        <f t="shared" si="100"/>
        <v>180.54008483886719</v>
      </c>
      <c r="AC129" s="4">
        <f>1628873564.26077-1628873564.07584</f>
        <v>0.18493008613586426</v>
      </c>
      <c r="AD129" s="3">
        <f t="shared" si="101"/>
        <v>184.93008613586426</v>
      </c>
      <c r="AF129" s="4">
        <f>1628873564.26495-1628873564.07584</f>
        <v>0.18911004066467285</v>
      </c>
      <c r="AG129" s="3">
        <f t="shared" si="102"/>
        <v>189.11004066467285</v>
      </c>
      <c r="AL129" s="4">
        <f>1628875101.16852-1628875101.00213</f>
        <v>0.16638994216918945</v>
      </c>
      <c r="AM129" s="3">
        <f t="shared" si="103"/>
        <v>166.38994216918945</v>
      </c>
      <c r="AO129" s="4">
        <f>1628875101.1731-1628875101.00213</f>
        <v>0.17096996307373047</v>
      </c>
      <c r="AP129" s="3">
        <f t="shared" si="104"/>
        <v>170.96996307373047</v>
      </c>
      <c r="AR129" s="4">
        <f>1628875101.17725-1628875101.00213</f>
        <v>0.17511987686157227</v>
      </c>
      <c r="AS129" s="3">
        <f t="shared" si="105"/>
        <v>175.11987686157227</v>
      </c>
      <c r="AU129" s="4">
        <f>1628875101.18025-1628875101.00213</f>
        <v>0.17811989784240723</v>
      </c>
      <c r="AV129" s="3">
        <f t="shared" si="106"/>
        <v>178.11989784240723</v>
      </c>
      <c r="AX129" s="4">
        <f>1628875101.18464-1628875101.00213</f>
        <v>0.1825098991394043</v>
      </c>
      <c r="AY129" s="3">
        <f t="shared" si="107"/>
        <v>182.5098991394043</v>
      </c>
    </row>
    <row r="130" spans="2:51" x14ac:dyDescent="0.3">
      <c r="B130" s="4">
        <f>1628869652.09667-1628869652.08963</f>
        <v>7.0400238037109375E-3</v>
      </c>
      <c r="C130" s="3">
        <f t="shared" si="93"/>
        <v>7.0400238037109375</v>
      </c>
      <c r="E130" s="4">
        <f>1628869652.09709-1628869652.08963</f>
        <v>7.4601173400878906E-3</v>
      </c>
      <c r="F130" s="3">
        <f t="shared" si="94"/>
        <v>7.4601173400878906</v>
      </c>
      <c r="H130" s="4">
        <f>1628869652.09749-1628869652.08963</f>
        <v>7.8601837158203125E-3</v>
      </c>
      <c r="I130" s="3">
        <f t="shared" si="95"/>
        <v>7.8601837158203125</v>
      </c>
      <c r="K130" s="4">
        <f>1628869652.09678-1628869652.08963</f>
        <v>7.1501731872558594E-3</v>
      </c>
      <c r="L130" s="3">
        <f t="shared" si="96"/>
        <v>7.1501731872558594</v>
      </c>
      <c r="N130" s="4">
        <f>1628869652.09785-1628869652.08963</f>
        <v>8.2201957702636719E-3</v>
      </c>
      <c r="O130" s="3">
        <f t="shared" si="97"/>
        <v>8.2201957702636719</v>
      </c>
      <c r="T130" s="4">
        <f>1628873565.52018-1628873565.35344</f>
        <v>0.16673994064331055</v>
      </c>
      <c r="U130" s="3">
        <f t="shared" si="98"/>
        <v>166.73994064331055</v>
      </c>
      <c r="W130" s="4">
        <f>1628873565.52392-1628873565.35344</f>
        <v>0.17048001289367676</v>
      </c>
      <c r="X130" s="3">
        <f t="shared" si="99"/>
        <v>170.48001289367676</v>
      </c>
      <c r="Z130" s="4">
        <f>1628873565.52801-1628873565.35344</f>
        <v>0.17456984519958496</v>
      </c>
      <c r="AA130" s="3">
        <f t="shared" si="100"/>
        <v>174.56984519958496</v>
      </c>
      <c r="AC130" s="4">
        <f>1628873565.53214-1628873565.35344</f>
        <v>0.17869997024536133</v>
      </c>
      <c r="AD130" s="3">
        <f t="shared" si="101"/>
        <v>178.69997024536133</v>
      </c>
      <c r="AF130" s="4">
        <f>1628873565.53623-1628873565.35344</f>
        <v>0.18279004096984863</v>
      </c>
      <c r="AG130" s="3">
        <f t="shared" si="102"/>
        <v>182.79004096984863</v>
      </c>
      <c r="AL130" s="4">
        <f>1628875102.44154-1628875102.26671</f>
        <v>0.17482995986938477</v>
      </c>
      <c r="AM130" s="3">
        <f t="shared" si="103"/>
        <v>174.82995986938477</v>
      </c>
      <c r="AO130" s="4">
        <f>1628875102.44626-1628875102.26671</f>
        <v>0.1795499324798584</v>
      </c>
      <c r="AP130" s="3">
        <f t="shared" si="104"/>
        <v>179.5499324798584</v>
      </c>
      <c r="AR130" s="4">
        <f>1628875102.44966-1628875102.26671</f>
        <v>0.18295001983642578</v>
      </c>
      <c r="AS130" s="3">
        <f t="shared" si="105"/>
        <v>182.95001983642578</v>
      </c>
      <c r="AU130" s="4">
        <f>1628875102.45412-1628875102.26671</f>
        <v>0.18740987777709961</v>
      </c>
      <c r="AV130" s="3">
        <f t="shared" si="106"/>
        <v>187.40987777709961</v>
      </c>
      <c r="AX130" s="4">
        <f>1628875102.45794-1628875102.26671</f>
        <v>0.19123005867004395</v>
      </c>
      <c r="AY130" s="3">
        <f t="shared" si="107"/>
        <v>191.23005867004395</v>
      </c>
    </row>
    <row r="131" spans="2:51" x14ac:dyDescent="0.3">
      <c r="B131" s="4">
        <f>1628869653.10324-1628869653.09703</f>
        <v>6.2100887298583984E-3</v>
      </c>
      <c r="C131" s="3">
        <f t="shared" si="93"/>
        <v>6.2100887298583984</v>
      </c>
      <c r="E131" s="4">
        <f>1628869653.10396-1628869653.09703</f>
        <v>6.9301128387451172E-3</v>
      </c>
      <c r="F131" s="3">
        <f t="shared" si="94"/>
        <v>6.9301128387451172</v>
      </c>
      <c r="H131" s="4">
        <f>1628869653.10461-1628869653.09703</f>
        <v>7.5800418853759766E-3</v>
      </c>
      <c r="I131" s="3">
        <f t="shared" si="95"/>
        <v>7.5800418853759766</v>
      </c>
      <c r="K131" s="4">
        <f>1628869653.10332-1628869653.09703</f>
        <v>6.2899589538574219E-3</v>
      </c>
      <c r="L131" s="3">
        <f t="shared" si="96"/>
        <v>6.2899589538574219</v>
      </c>
      <c r="N131" s="4">
        <f>1628869653.10426-1628869653.09703</f>
        <v>7.2300434112548828E-3</v>
      </c>
      <c r="O131" s="3">
        <f t="shared" si="97"/>
        <v>7.2300434112548828</v>
      </c>
      <c r="T131" s="4">
        <f>1628873566.79021-1628873566.62751</f>
        <v>0.16269993782043457</v>
      </c>
      <c r="U131" s="3">
        <f t="shared" si="98"/>
        <v>162.69993782043457</v>
      </c>
      <c r="W131" s="4">
        <f>1628873566.79447-1628873566.62751</f>
        <v>0.16696000099182129</v>
      </c>
      <c r="X131" s="3">
        <f t="shared" si="99"/>
        <v>166.96000099182129</v>
      </c>
      <c r="Z131" s="4">
        <f>1628873566.7982-1628873566.62751</f>
        <v>0.17068982124328613</v>
      </c>
      <c r="AA131" s="3">
        <f t="shared" si="100"/>
        <v>170.68982124328613</v>
      </c>
      <c r="AC131" s="4">
        <f>1628873566.80211-1628873566.62751</f>
        <v>0.17459988594055176</v>
      </c>
      <c r="AD131" s="3">
        <f t="shared" si="101"/>
        <v>174.59988594055176</v>
      </c>
      <c r="AF131" s="4">
        <f>1628873566.80567-1628873566.62751</f>
        <v>0.17815995216369629</v>
      </c>
      <c r="AG131" s="3">
        <f t="shared" si="102"/>
        <v>178.15995216369629</v>
      </c>
      <c r="AL131" s="4">
        <f>1628875103.70968-1628875103.5344</f>
        <v>0.17528009414672852</v>
      </c>
      <c r="AM131" s="3">
        <f t="shared" si="103"/>
        <v>175.28009414672852</v>
      </c>
      <c r="AO131" s="4">
        <f>1628875103.71404-1628875103.5344</f>
        <v>0.17964005470275879</v>
      </c>
      <c r="AP131" s="3">
        <f t="shared" si="104"/>
        <v>179.64005470275879</v>
      </c>
      <c r="AR131" s="4">
        <f>1628875103.71668-1628875103.5344</f>
        <v>0.18228006362915039</v>
      </c>
      <c r="AS131" s="3">
        <f t="shared" si="105"/>
        <v>182.28006362915039</v>
      </c>
      <c r="AU131" s="4">
        <f>1628875103.72085-1628875103.5344</f>
        <v>0.18645000457763672</v>
      </c>
      <c r="AV131" s="3">
        <f t="shared" si="106"/>
        <v>186.45000457763672</v>
      </c>
      <c r="AX131" s="4">
        <f>1628875103.72494-1628875103.5344</f>
        <v>0.19054007530212402</v>
      </c>
      <c r="AY131" s="3">
        <f t="shared" si="107"/>
        <v>190.54007530212402</v>
      </c>
    </row>
    <row r="132" spans="2:51" x14ac:dyDescent="0.3">
      <c r="B132" s="4">
        <f>1628869654.11053-1628869654.10327</f>
        <v>7.2598457336425781E-3</v>
      </c>
      <c r="C132" s="3">
        <f t="shared" si="93"/>
        <v>7.2598457336425781</v>
      </c>
      <c r="E132" s="4">
        <f>1628869654.11083-1628869654.10327</f>
        <v>7.5600147247314453E-3</v>
      </c>
      <c r="F132" s="3">
        <f t="shared" si="94"/>
        <v>7.5600147247314453</v>
      </c>
      <c r="H132" s="4">
        <f>1628869654.11159-1628869654.10327</f>
        <v>8.319854736328125E-3</v>
      </c>
      <c r="I132" s="3">
        <f t="shared" si="95"/>
        <v>8.319854736328125</v>
      </c>
      <c r="K132" s="4">
        <f>1628869654.11058-1628869654.10327</f>
        <v>7.3099136352539063E-3</v>
      </c>
      <c r="L132" s="3">
        <f t="shared" si="96"/>
        <v>7.3099136352539063</v>
      </c>
      <c r="N132" s="4">
        <f>1628869654.11117-1628869654.10327</f>
        <v>7.8999996185302734E-3</v>
      </c>
      <c r="O132" s="3">
        <f t="shared" si="97"/>
        <v>7.8999996185302734</v>
      </c>
      <c r="T132" s="4">
        <f>1628873568.05953-1628873567.88822</f>
        <v>0.1713099479675293</v>
      </c>
      <c r="U132" s="3">
        <f t="shared" si="98"/>
        <v>171.3099479675293</v>
      </c>
      <c r="W132" s="4">
        <f>1628873568.0644-1628873567.88822</f>
        <v>0.17617988586425781</v>
      </c>
      <c r="X132" s="3">
        <f t="shared" si="99"/>
        <v>176.17988586425781</v>
      </c>
      <c r="Z132" s="4">
        <f>1628873568.06876-1628873567.88822</f>
        <v>0.18053984642028809</v>
      </c>
      <c r="AA132" s="3">
        <f t="shared" si="100"/>
        <v>180.53984642028809</v>
      </c>
      <c r="AC132" s="4">
        <f>1628873568.07265-1628873567.88822</f>
        <v>0.18442988395690918</v>
      </c>
      <c r="AD132" s="3">
        <f t="shared" si="101"/>
        <v>184.42988395690918</v>
      </c>
      <c r="AF132" s="4">
        <f>1628873568.07683-1628873567.88822</f>
        <v>0.18860983848571777</v>
      </c>
      <c r="AG132" s="3">
        <f t="shared" si="102"/>
        <v>188.60983848571777</v>
      </c>
      <c r="AL132" s="4">
        <f>1628875104.98299-1628875104.81043</f>
        <v>0.17255997657775879</v>
      </c>
      <c r="AM132" s="3">
        <f t="shared" si="103"/>
        <v>172.55997657775879</v>
      </c>
      <c r="AO132" s="4">
        <f>1628875104.9874-1628875104.81043</f>
        <v>0.17697000503540039</v>
      </c>
      <c r="AP132" s="3">
        <f t="shared" si="104"/>
        <v>176.97000503540039</v>
      </c>
      <c r="AR132" s="4">
        <f>1628875104.99157-1628875104.81043</f>
        <v>0.18113994598388672</v>
      </c>
      <c r="AS132" s="3">
        <f t="shared" si="105"/>
        <v>181.13994598388672</v>
      </c>
      <c r="AU132" s="4">
        <f>1628875104.9959-1628875104.81043</f>
        <v>0.1854698657989502</v>
      </c>
      <c r="AV132" s="3">
        <f t="shared" si="106"/>
        <v>185.4698657989502</v>
      </c>
      <c r="AX132" s="4">
        <f>1628875105.00024-1628875104.81043</f>
        <v>0.18981003761291504</v>
      </c>
      <c r="AY132" s="3">
        <f t="shared" si="107"/>
        <v>189.81003761291504</v>
      </c>
    </row>
    <row r="133" spans="2:51" x14ac:dyDescent="0.3">
      <c r="B133" s="4">
        <f>1628869655.11771-1628869655.11052</f>
        <v>7.1902275085449219E-3</v>
      </c>
      <c r="C133" s="3">
        <f t="shared" si="93"/>
        <v>7.1902275085449219</v>
      </c>
      <c r="E133" s="4">
        <f>1628869655.11809-1628869655.11052</f>
        <v>7.5700283050537109E-3</v>
      </c>
      <c r="F133" s="3">
        <f t="shared" si="94"/>
        <v>7.5700283050537109</v>
      </c>
      <c r="H133" s="4">
        <f>1628869655.11886-1628869655.11052</f>
        <v>8.3401203155517578E-3</v>
      </c>
      <c r="I133" s="3">
        <f t="shared" si="95"/>
        <v>8.3401203155517578</v>
      </c>
      <c r="K133" s="4">
        <f>1628869655.11777-1628869655.11052</f>
        <v>7.2500705718994141E-3</v>
      </c>
      <c r="L133" s="3">
        <f t="shared" si="96"/>
        <v>7.2500705718994141</v>
      </c>
      <c r="N133" s="4">
        <f>1628869655.1185-1628869655.11052</f>
        <v>7.9801082611083984E-3</v>
      </c>
      <c r="O133" s="3">
        <f t="shared" si="97"/>
        <v>7.9801082611083984</v>
      </c>
      <c r="T133" s="4">
        <f>1628873569.32016-1628873569.15379</f>
        <v>0.16636991500854492</v>
      </c>
      <c r="U133" s="3">
        <f t="shared" si="98"/>
        <v>166.36991500854492</v>
      </c>
      <c r="W133" s="4">
        <f>1628873569.32384-1628873569.15379</f>
        <v>0.17004990577697754</v>
      </c>
      <c r="X133" s="3">
        <f t="shared" si="99"/>
        <v>170.04990577697754</v>
      </c>
      <c r="Z133" s="4">
        <f>1628873569.3279-1628873569.15379</f>
        <v>0.17410993576049805</v>
      </c>
      <c r="AA133" s="3">
        <f t="shared" si="100"/>
        <v>174.10993576049805</v>
      </c>
      <c r="AC133" s="4">
        <f>1628873569.33221-1628873569.15379</f>
        <v>0.17842006683349609</v>
      </c>
      <c r="AD133" s="3">
        <f t="shared" si="101"/>
        <v>178.42006683349609</v>
      </c>
      <c r="AF133" s="4">
        <f>1628873569.33614-1628873569.15379</f>
        <v>0.18234992027282715</v>
      </c>
      <c r="AG133" s="3">
        <f t="shared" si="102"/>
        <v>182.34992027282715</v>
      </c>
      <c r="AL133" s="4">
        <f>1628875106.24605-1628875106.07662</f>
        <v>0.16942977905273438</v>
      </c>
      <c r="AM133" s="3">
        <f t="shared" si="103"/>
        <v>169.42977905273438</v>
      </c>
      <c r="AO133" s="4">
        <f>1628875106.25021-1628875106.07662</f>
        <v>0.17358994483947754</v>
      </c>
      <c r="AP133" s="3">
        <f t="shared" si="104"/>
        <v>173.58994483947754</v>
      </c>
      <c r="AR133" s="4">
        <f>1628875106.25419-1628875106.07662</f>
        <v>0.17756986618041992</v>
      </c>
      <c r="AS133" s="3">
        <f t="shared" si="105"/>
        <v>177.56986618041992</v>
      </c>
      <c r="AU133" s="4">
        <f>1628875106.25882-1628875106.07662</f>
        <v>0.18219995498657227</v>
      </c>
      <c r="AV133" s="3">
        <f t="shared" si="106"/>
        <v>182.19995498657227</v>
      </c>
      <c r="AX133" s="4">
        <f>1628875106.26316-1628875106.07662</f>
        <v>0.18653988838195801</v>
      </c>
      <c r="AY133" s="3">
        <f t="shared" si="107"/>
        <v>186.53988838195801</v>
      </c>
    </row>
    <row r="134" spans="2:51" x14ac:dyDescent="0.3">
      <c r="B134" s="4">
        <f>1628869656.12497-1628869656.11783</f>
        <v>7.1399211883544922E-3</v>
      </c>
      <c r="C134" s="3">
        <f t="shared" si="93"/>
        <v>7.1399211883544922</v>
      </c>
      <c r="E134" s="4">
        <f>1628869656.12539-1628869656.11783</f>
        <v>7.5600147247314453E-3</v>
      </c>
      <c r="F134" s="3">
        <f t="shared" si="94"/>
        <v>7.5600147247314453</v>
      </c>
      <c r="H134" s="4">
        <f>1628869656.12611-1628869656.11783</f>
        <v>8.2800388336181641E-3</v>
      </c>
      <c r="I134" s="3">
        <f t="shared" si="95"/>
        <v>8.2800388336181641</v>
      </c>
      <c r="K134" s="4">
        <f>1628869656.12506-1628869656.11783</f>
        <v>7.2300434112548828E-3</v>
      </c>
      <c r="L134" s="3">
        <f t="shared" si="96"/>
        <v>7.2300434112548828</v>
      </c>
      <c r="N134" s="4">
        <f>1628869656.12571-1628869656.11783</f>
        <v>7.8799724578857422E-3</v>
      </c>
      <c r="O134" s="3">
        <f t="shared" si="97"/>
        <v>7.8799724578857422</v>
      </c>
      <c r="T134" s="4">
        <f>1628873570.59022-1628873570.42245</f>
        <v>0.1677699089050293</v>
      </c>
      <c r="U134" s="3">
        <f t="shared" si="98"/>
        <v>167.7699089050293</v>
      </c>
      <c r="W134" s="4">
        <f>1628873570.59481-1628873570.42245</f>
        <v>0.17235994338989258</v>
      </c>
      <c r="X134" s="3">
        <f t="shared" si="99"/>
        <v>172.35994338989258</v>
      </c>
      <c r="Z134" s="4">
        <f>1628873570.59898-1628873570.42245</f>
        <v>0.17652988433837891</v>
      </c>
      <c r="AA134" s="3">
        <f t="shared" si="100"/>
        <v>176.52988433837891</v>
      </c>
      <c r="AC134" s="4">
        <f>1628873570.60333-1628873570.42245</f>
        <v>0.18087983131408691</v>
      </c>
      <c r="AD134" s="3">
        <f t="shared" si="101"/>
        <v>180.87983131408691</v>
      </c>
      <c r="AF134" s="4">
        <f>1628873570.607-1628873570.42245</f>
        <v>0.18455004692077637</v>
      </c>
      <c r="AG134" s="3">
        <f t="shared" si="102"/>
        <v>184.55004692077637</v>
      </c>
      <c r="AL134" s="4">
        <f>1628875107.51397-1628875107.34241</f>
        <v>0.17155981063842773</v>
      </c>
      <c r="AM134" s="3">
        <f t="shared" si="103"/>
        <v>171.55981063842773</v>
      </c>
      <c r="AO134" s="4">
        <f>1628875107.51908-1628875107.34241</f>
        <v>0.17666983604431152</v>
      </c>
      <c r="AP134" s="3">
        <f t="shared" si="104"/>
        <v>176.66983604431152</v>
      </c>
      <c r="AR134" s="4">
        <f>1628875107.52317-1628875107.34241</f>
        <v>0.18075990676879883</v>
      </c>
      <c r="AS134" s="3">
        <f t="shared" si="105"/>
        <v>180.75990676879883</v>
      </c>
      <c r="AU134" s="4">
        <f>1628875107.5268-1628875107.34241</f>
        <v>0.18438982963562012</v>
      </c>
      <c r="AV134" s="3">
        <f t="shared" si="106"/>
        <v>184.38982963562012</v>
      </c>
      <c r="AX134" s="4">
        <f>1628875107.52963-1628875107.34241</f>
        <v>0.18721985816955566</v>
      </c>
      <c r="AY134" s="3">
        <f t="shared" si="107"/>
        <v>187.21985816955566</v>
      </c>
    </row>
    <row r="135" spans="2:51" x14ac:dyDescent="0.3">
      <c r="B135" s="4">
        <f>1628869657.13212-1628869657.12504</f>
        <v>7.0798397064208984E-3</v>
      </c>
      <c r="C135" s="3">
        <f t="shared" si="93"/>
        <v>7.0798397064208984</v>
      </c>
      <c r="E135" s="4">
        <f>1628869657.13265-1628869657.12504</f>
        <v>7.6098442077636719E-3</v>
      </c>
      <c r="F135" s="3">
        <f t="shared" si="94"/>
        <v>7.6098442077636719</v>
      </c>
      <c r="H135" s="4">
        <f>1628869657.13615-1628869657.12504</f>
        <v>1.1109828948974609E-2</v>
      </c>
      <c r="I135" s="3">
        <f t="shared" si="95"/>
        <v>11.109828948974609</v>
      </c>
      <c r="K135" s="4">
        <f>1628869657.13224-1628869657.12504</f>
        <v>7.2000026702880859E-3</v>
      </c>
      <c r="L135" s="3">
        <f t="shared" si="96"/>
        <v>7.2000026702880859</v>
      </c>
      <c r="N135" s="4">
        <f>1628869657.13603-1628869657.12504</f>
        <v>1.0989904403686523E-2</v>
      </c>
      <c r="O135" s="3">
        <f t="shared" si="97"/>
        <v>10.989904403686523</v>
      </c>
      <c r="T135" s="4">
        <f>1628873571.8578-1628873571.69399</f>
        <v>0.16381001472473145</v>
      </c>
      <c r="U135" s="3">
        <f t="shared" si="98"/>
        <v>163.81001472473145</v>
      </c>
      <c r="W135" s="4">
        <f>1628873571.86072-1628873571.69399</f>
        <v>0.16672992706298828</v>
      </c>
      <c r="X135" s="3">
        <f t="shared" si="99"/>
        <v>166.72992706298828</v>
      </c>
      <c r="Z135" s="4">
        <f>1628873571.86504-1628873571.69399</f>
        <v>0.17105007171630859</v>
      </c>
      <c r="AA135" s="3">
        <f t="shared" si="100"/>
        <v>171.05007171630859</v>
      </c>
      <c r="AC135" s="4">
        <f>1628873571.86855-1628873571.69399</f>
        <v>0.1745600700378418</v>
      </c>
      <c r="AD135" s="3">
        <f t="shared" si="101"/>
        <v>174.5600700378418</v>
      </c>
      <c r="AF135" s="4">
        <f>1628873571.87269-1628873571.69399</f>
        <v>0.17869997024536133</v>
      </c>
      <c r="AG135" s="3">
        <f t="shared" si="102"/>
        <v>178.69997024536133</v>
      </c>
      <c r="AL135" s="4">
        <f>1628875108.77838-1628875108.6092</f>
        <v>0.16917991638183594</v>
      </c>
      <c r="AM135" s="3">
        <f t="shared" si="103"/>
        <v>169.17991638183594</v>
      </c>
      <c r="AO135" s="4">
        <f>1628875108.78295-1628875108.6092</f>
        <v>0.17374992370605469</v>
      </c>
      <c r="AP135" s="3">
        <f t="shared" si="104"/>
        <v>173.74992370605469</v>
      </c>
      <c r="AR135" s="4">
        <f>1628875108.78703-1628875108.6092</f>
        <v>0.17782998085021973</v>
      </c>
      <c r="AS135" s="3">
        <f t="shared" si="105"/>
        <v>177.82998085021973</v>
      </c>
      <c r="AU135" s="4">
        <f>1628875108.79155-1628875108.6092</f>
        <v>0.18234992027282715</v>
      </c>
      <c r="AV135" s="3">
        <f t="shared" si="106"/>
        <v>182.34992027282715</v>
      </c>
      <c r="AX135" s="4">
        <f>1628875108.79577-1628875108.6092</f>
        <v>0.1865699291229248</v>
      </c>
      <c r="AY135" s="3">
        <f t="shared" si="107"/>
        <v>186.5699291229248</v>
      </c>
    </row>
    <row r="136" spans="2:51" x14ac:dyDescent="0.3">
      <c r="C136" s="2">
        <f>AVERAGE(C126:C135)</f>
        <v>7.1029901504516602</v>
      </c>
      <c r="F136" s="2">
        <f>AVERAGE(F126:F135)</f>
        <v>7.5880050659179688</v>
      </c>
      <c r="I136" s="2">
        <f>AVERAGE(I126:I135)</f>
        <v>8.5619926452636719</v>
      </c>
      <c r="L136" s="2">
        <f>AVERAGE(L126:L135)</f>
        <v>7.2190046310424805</v>
      </c>
      <c r="O136" s="2">
        <f>AVERAGE(O126:O135)</f>
        <v>8.3540201187133789</v>
      </c>
      <c r="U136" s="2">
        <f>AVERAGE(U126:U135)</f>
        <v>163.05198669433594</v>
      </c>
      <c r="X136" s="2">
        <f>AVERAGE(X126:X135)</f>
        <v>166.93994998931885</v>
      </c>
      <c r="AA136" s="2">
        <f>AVERAGE(AA126:AA135)</f>
        <v>171.0059642791748</v>
      </c>
      <c r="AD136" s="2">
        <f>AVERAGE(AD126:AD135)</f>
        <v>175.06697177886963</v>
      </c>
      <c r="AG136" s="2">
        <f>AVERAGE(AG126:AG135)</f>
        <v>179.00197505950928</v>
      </c>
      <c r="AM136" s="2">
        <f>AVERAGE(AM126:AM135)</f>
        <v>170.11795043945313</v>
      </c>
      <c r="AP136" s="2">
        <f>AVERAGE(AP126:AP135)</f>
        <v>174.5769739151001</v>
      </c>
      <c r="AS136" s="2">
        <f>AVERAGE(AS126:AS135)</f>
        <v>178.29596996307373</v>
      </c>
      <c r="AV136" s="2">
        <f>AVERAGE(AV126:AV135)</f>
        <v>182.48393535614014</v>
      </c>
      <c r="AY136" s="2">
        <f>AVERAGE(AY126:AY135)</f>
        <v>186.48598194122314</v>
      </c>
    </row>
    <row r="138" spans="2:51" x14ac:dyDescent="0.3">
      <c r="B138" s="6" t="s">
        <v>47</v>
      </c>
      <c r="C138" s="6"/>
      <c r="E138" s="6" t="s">
        <v>48</v>
      </c>
      <c r="F138" s="6"/>
      <c r="H138" s="6" t="s">
        <v>49</v>
      </c>
      <c r="I138" s="6"/>
      <c r="K138" s="6" t="s">
        <v>50</v>
      </c>
      <c r="L138" s="6"/>
      <c r="N138" s="6" t="s">
        <v>51</v>
      </c>
      <c r="O138" s="6"/>
      <c r="T138" s="6" t="s">
        <v>47</v>
      </c>
      <c r="U138" s="6"/>
      <c r="W138" s="6" t="s">
        <v>48</v>
      </c>
      <c r="X138" s="6"/>
      <c r="Z138" s="6" t="s">
        <v>49</v>
      </c>
      <c r="AA138" s="6"/>
      <c r="AC138" s="6" t="s">
        <v>50</v>
      </c>
      <c r="AD138" s="6"/>
      <c r="AF138" s="6" t="s">
        <v>51</v>
      </c>
      <c r="AG138" s="6"/>
      <c r="AL138" s="6" t="s">
        <v>47</v>
      </c>
      <c r="AM138" s="6"/>
      <c r="AO138" s="6" t="s">
        <v>48</v>
      </c>
      <c r="AP138" s="6"/>
      <c r="AR138" s="6" t="s">
        <v>49</v>
      </c>
      <c r="AS138" s="6"/>
      <c r="AU138" s="6" t="s">
        <v>50</v>
      </c>
      <c r="AV138" s="6"/>
      <c r="AX138" s="6" t="s">
        <v>51</v>
      </c>
      <c r="AY138" s="6"/>
    </row>
    <row r="139" spans="2:51" ht="30" customHeight="1" x14ac:dyDescent="0.3">
      <c r="B139" s="8" t="s">
        <v>2</v>
      </c>
      <c r="C139" s="8"/>
      <c r="E139" s="8" t="s">
        <v>2</v>
      </c>
      <c r="F139" s="8"/>
      <c r="H139" s="8" t="s">
        <v>2</v>
      </c>
      <c r="I139" s="8"/>
      <c r="K139" s="8" t="s">
        <v>2</v>
      </c>
      <c r="L139" s="8"/>
      <c r="N139" s="8" t="s">
        <v>2</v>
      </c>
      <c r="O139" s="8"/>
      <c r="T139" s="8" t="s">
        <v>62</v>
      </c>
      <c r="U139" s="8"/>
      <c r="W139" s="8" t="s">
        <v>62</v>
      </c>
      <c r="X139" s="8"/>
      <c r="Z139" s="8" t="s">
        <v>62</v>
      </c>
      <c r="AA139" s="8"/>
      <c r="AC139" s="8" t="s">
        <v>62</v>
      </c>
      <c r="AD139" s="8"/>
      <c r="AF139" s="8" t="s">
        <v>62</v>
      </c>
      <c r="AG139" s="8"/>
      <c r="AL139" s="8" t="s">
        <v>63</v>
      </c>
      <c r="AM139" s="8"/>
      <c r="AO139" s="8" t="s">
        <v>63</v>
      </c>
      <c r="AP139" s="8"/>
      <c r="AR139" s="8" t="s">
        <v>63</v>
      </c>
      <c r="AS139" s="8"/>
      <c r="AU139" s="8" t="s">
        <v>63</v>
      </c>
      <c r="AV139" s="8"/>
      <c r="AX139" s="8" t="s">
        <v>63</v>
      </c>
      <c r="AY139" s="8"/>
    </row>
    <row r="140" spans="2:51" x14ac:dyDescent="0.3">
      <c r="B140" s="1" t="s">
        <v>1</v>
      </c>
      <c r="C140" s="1" t="s">
        <v>0</v>
      </c>
      <c r="E140" s="1" t="s">
        <v>1</v>
      </c>
      <c r="F140" s="1" t="s">
        <v>0</v>
      </c>
      <c r="H140" s="1" t="s">
        <v>1</v>
      </c>
      <c r="I140" s="1" t="s">
        <v>0</v>
      </c>
      <c r="K140" s="1" t="s">
        <v>1</v>
      </c>
      <c r="L140" s="1" t="s">
        <v>0</v>
      </c>
      <c r="N140" s="1" t="s">
        <v>1</v>
      </c>
      <c r="O140" s="1" t="s">
        <v>0</v>
      </c>
      <c r="T140" s="1" t="s">
        <v>1</v>
      </c>
      <c r="U140" s="1" t="s">
        <v>0</v>
      </c>
      <c r="W140" s="1" t="s">
        <v>1</v>
      </c>
      <c r="X140" s="1" t="s">
        <v>0</v>
      </c>
      <c r="Z140" s="1" t="s">
        <v>1</v>
      </c>
      <c r="AA140" s="1" t="s">
        <v>0</v>
      </c>
      <c r="AC140" s="1" t="s">
        <v>1</v>
      </c>
      <c r="AD140" s="1" t="s">
        <v>0</v>
      </c>
      <c r="AF140" s="1" t="s">
        <v>1</v>
      </c>
      <c r="AG140" s="1" t="s">
        <v>0</v>
      </c>
      <c r="AL140" s="1" t="s">
        <v>1</v>
      </c>
      <c r="AM140" s="1" t="s">
        <v>0</v>
      </c>
      <c r="AO140" s="1" t="s">
        <v>1</v>
      </c>
      <c r="AP140" s="1" t="s">
        <v>0</v>
      </c>
      <c r="AR140" s="1" t="s">
        <v>1</v>
      </c>
      <c r="AS140" s="1" t="s">
        <v>0</v>
      </c>
      <c r="AU140" s="1" t="s">
        <v>1</v>
      </c>
      <c r="AV140" s="1" t="s">
        <v>0</v>
      </c>
      <c r="AX140" s="1" t="s">
        <v>1</v>
      </c>
      <c r="AY140" s="1" t="s">
        <v>0</v>
      </c>
    </row>
    <row r="141" spans="2:51" x14ac:dyDescent="0.3">
      <c r="B141" s="4">
        <f>1628869648.06595-1628869648.06002</f>
        <v>5.9299468994140625E-3</v>
      </c>
      <c r="C141" s="3">
        <f>B141*1000</f>
        <v>5.9299468994140625</v>
      </c>
      <c r="E141" s="4">
        <f>1628869648.06635-1628869648.06002</f>
        <v>6.3300132751464844E-3</v>
      </c>
      <c r="F141" s="3">
        <f>E141*1000</f>
        <v>6.3300132751464844</v>
      </c>
      <c r="H141" s="4">
        <f>1628869648.06692-1628869648.06002</f>
        <v>6.9000720977783203E-3</v>
      </c>
      <c r="I141" s="3">
        <f>H141*1000</f>
        <v>6.9000720977783203</v>
      </c>
      <c r="K141" s="4">
        <f>1628869648.06669-1628869648.06002</f>
        <v>6.6699981689453125E-3</v>
      </c>
      <c r="L141" s="3">
        <f>K141*1000</f>
        <v>6.6699981689453125</v>
      </c>
      <c r="N141" s="4">
        <f>1628869648.06608-1628869648.06002</f>
        <v>6.0601234436035156E-3</v>
      </c>
      <c r="O141" s="3">
        <f>N141*1000</f>
        <v>6.0601234436035156</v>
      </c>
      <c r="T141" s="4">
        <f>1628873560.52064-1628873560.32879</f>
        <v>0.19184994697570801</v>
      </c>
      <c r="U141" s="3">
        <f>T141*1000</f>
        <v>191.84994697570801</v>
      </c>
      <c r="W141" s="4">
        <f>1628873560.5246-1628873560.32879</f>
        <v>0.19581007957458496</v>
      </c>
      <c r="X141" s="3">
        <f>W141*1000</f>
        <v>195.81007957458496</v>
      </c>
      <c r="Z141" s="4">
        <f>1628873560.52932-1628873560.32879</f>
        <v>0.20053005218505859</v>
      </c>
      <c r="AA141" s="3">
        <f>Z141*1000</f>
        <v>200.53005218505859</v>
      </c>
      <c r="AC141" s="4">
        <f>1628873560.53319-1628873560.32879</f>
        <v>0.20440006256103516</v>
      </c>
      <c r="AD141" s="3">
        <f>AC141*1000</f>
        <v>204.40006256103516</v>
      </c>
      <c r="AF141" s="4">
        <f>1628873560.53746-1628873560.32879</f>
        <v>0.20867013931274414</v>
      </c>
      <c r="AG141" s="3">
        <f>AF141*1000</f>
        <v>208.67013931274414</v>
      </c>
      <c r="AL141" s="4">
        <f>1628875097.38868-1628875097.20454</f>
        <v>0.18413996696472168</v>
      </c>
      <c r="AM141" s="3">
        <f>AL141*1000</f>
        <v>184.13996696472168</v>
      </c>
      <c r="AO141" s="4">
        <f>1628875097.39258-1628875097.20454</f>
        <v>0.18804001808166504</v>
      </c>
      <c r="AP141" s="3">
        <f>AO141*1000</f>
        <v>188.04001808166504</v>
      </c>
      <c r="AR141" s="4">
        <f>1628875097.39689-1628875097.20454</f>
        <v>0.19234991073608398</v>
      </c>
      <c r="AS141" s="3">
        <f>AR141*1000</f>
        <v>192.34991073608398</v>
      </c>
      <c r="AU141" s="4">
        <f>1628875097.40167-1628875097.20454</f>
        <v>0.19712996482849121</v>
      </c>
      <c r="AV141" s="3">
        <f>AU141*1000</f>
        <v>197.12996482849121</v>
      </c>
      <c r="AX141" s="4">
        <f>1628875097.40599-1628875097.20454</f>
        <v>0.20144987106323242</v>
      </c>
      <c r="AY141" s="3">
        <f>AX141*1000</f>
        <v>201.44987106323242</v>
      </c>
    </row>
    <row r="142" spans="2:51" x14ac:dyDescent="0.3">
      <c r="B142" s="4">
        <f>1628869649.07327-1628869649.06764</f>
        <v>5.6300163269042969E-3</v>
      </c>
      <c r="C142" s="3">
        <f t="shared" ref="C142:C150" si="108">B142*1000</f>
        <v>5.6300163269042969</v>
      </c>
      <c r="E142" s="4">
        <f>1628869649.07378-1628869649.06764</f>
        <v>6.1399936676025391E-3</v>
      </c>
      <c r="F142" s="3">
        <f t="shared" ref="F142:F150" si="109">E142*1000</f>
        <v>6.1399936676025391</v>
      </c>
      <c r="H142" s="4">
        <f>1628869649.07425-1628869649.06764</f>
        <v>6.6099166870117188E-3</v>
      </c>
      <c r="I142" s="3">
        <f t="shared" ref="I142:I150" si="110">H142*1000</f>
        <v>6.6099166870117188</v>
      </c>
      <c r="K142" s="4">
        <f>1628869649.07383-1628869649.06764</f>
        <v>6.1898231506347656E-3</v>
      </c>
      <c r="L142" s="3">
        <f t="shared" ref="L142:L150" si="111">K142*1000</f>
        <v>6.1898231506347656</v>
      </c>
      <c r="N142" s="4">
        <f>1628869649.07352-1628869649.06764</f>
        <v>5.8798789978027344E-3</v>
      </c>
      <c r="O142" s="3">
        <f t="shared" ref="O142:O150" si="112">N142*1000</f>
        <v>5.8798789978027344</v>
      </c>
      <c r="T142" s="4">
        <f>1628873561.78734-1628873561.59871</f>
        <v>0.1886298656463623</v>
      </c>
      <c r="U142" s="3">
        <f t="shared" ref="U142:U150" si="113">T142*1000</f>
        <v>188.6298656463623</v>
      </c>
      <c r="W142" s="4">
        <f>1628873561.79135-1628873561.59871</f>
        <v>0.19263982772827148</v>
      </c>
      <c r="X142" s="3">
        <f t="shared" ref="X142:X150" si="114">W142*1000</f>
        <v>192.63982772827148</v>
      </c>
      <c r="Z142" s="4">
        <f>1628873561.79557-1628873561.59871</f>
        <v>0.19685983657836914</v>
      </c>
      <c r="AA142" s="3">
        <f t="shared" ref="AA142:AA150" si="115">Z142*1000</f>
        <v>196.85983657836914</v>
      </c>
      <c r="AC142" s="4">
        <f>1628873561.79993-1628873561.59871</f>
        <v>0.20122003555297852</v>
      </c>
      <c r="AD142" s="3">
        <f t="shared" ref="AD142:AD150" si="116">AC142*1000</f>
        <v>201.22003555297852</v>
      </c>
      <c r="AF142" s="4">
        <f>1628873561.80458-1628873561.59871</f>
        <v>0.20586991310119629</v>
      </c>
      <c r="AG142" s="3">
        <f t="shared" ref="AG142:AG150" si="117">AF142*1000</f>
        <v>205.86991310119629</v>
      </c>
      <c r="AL142" s="4">
        <f>1628875098.6535-1628875098.46874</f>
        <v>0.18476009368896484</v>
      </c>
      <c r="AM142" s="3">
        <f t="shared" ref="AM142:AM150" si="118">AL142*1000</f>
        <v>184.76009368896484</v>
      </c>
      <c r="AO142" s="4">
        <f>1628875098.65777-1628875098.46874</f>
        <v>0.18902993202209473</v>
      </c>
      <c r="AP142" s="3">
        <f t="shared" ref="AP142:AP150" si="119">AO142*1000</f>
        <v>189.02993202209473</v>
      </c>
      <c r="AR142" s="4">
        <f>1628875098.66223-1628875098.46874</f>
        <v>0.19349002838134766</v>
      </c>
      <c r="AS142" s="3">
        <f t="shared" ref="AS142:AS150" si="120">AR142*1000</f>
        <v>193.49002838134766</v>
      </c>
      <c r="AU142" s="4">
        <f>1628875098.66648-1628875098.46874</f>
        <v>0.19774007797241211</v>
      </c>
      <c r="AV142" s="3">
        <f t="shared" ref="AV142:AV150" si="121">AU142*1000</f>
        <v>197.74007797241211</v>
      </c>
      <c r="AX142" s="4">
        <f>1628875098.67069-1628875098.46874</f>
        <v>0.2019500732421875</v>
      </c>
      <c r="AY142" s="3">
        <f t="shared" ref="AY142:AY150" si="122">AX142*1000</f>
        <v>201.9500732421875</v>
      </c>
    </row>
    <row r="143" spans="2:51" x14ac:dyDescent="0.3">
      <c r="B143" s="4">
        <f>1628869650.08073-1628869650.07508</f>
        <v>5.6500434875488281E-3</v>
      </c>
      <c r="C143" s="3">
        <f t="shared" si="108"/>
        <v>5.6500434875488281</v>
      </c>
      <c r="E143" s="4">
        <f>1628869650.08141-1628869650.07508</f>
        <v>6.3300132751464844E-3</v>
      </c>
      <c r="F143" s="3">
        <f t="shared" si="109"/>
        <v>6.3300132751464844</v>
      </c>
      <c r="H143" s="4">
        <f>1628869650.08174-1628869650.07508</f>
        <v>6.6599845886230469E-3</v>
      </c>
      <c r="I143" s="3">
        <f t="shared" si="110"/>
        <v>6.6599845886230469</v>
      </c>
      <c r="K143" s="4">
        <f>1628869650.0812-1628869650.07508</f>
        <v>6.1199665069580078E-3</v>
      </c>
      <c r="L143" s="3">
        <f t="shared" si="111"/>
        <v>6.1199665069580078</v>
      </c>
      <c r="N143" s="4">
        <f>1628869650.08092-1628869650.07508</f>
        <v>5.8400630950927734E-3</v>
      </c>
      <c r="O143" s="3">
        <f t="shared" si="112"/>
        <v>5.8400630950927734</v>
      </c>
      <c r="T143" s="4">
        <f>1628873563.0108-1628873562.87167</f>
        <v>0.1391298770904541</v>
      </c>
      <c r="U143" s="3">
        <f t="shared" si="113"/>
        <v>139.1298770904541</v>
      </c>
      <c r="W143" s="4">
        <f>1628873563.01449-1628873562.87167</f>
        <v>0.14281988143920898</v>
      </c>
      <c r="X143" s="3">
        <f t="shared" si="114"/>
        <v>142.81988143920898</v>
      </c>
      <c r="Z143" s="4">
        <f>1628873563.01814-1628873562.87167</f>
        <v>0.14647006988525391</v>
      </c>
      <c r="AA143" s="3">
        <f t="shared" si="115"/>
        <v>146.47006988525391</v>
      </c>
      <c r="AC143" s="4">
        <f>1628873563.02129-1628873562.87167</f>
        <v>0.14962005615234375</v>
      </c>
      <c r="AD143" s="3">
        <f t="shared" si="116"/>
        <v>149.62005615234375</v>
      </c>
      <c r="AF143" s="4">
        <f>1628873563.02489-1628873562.87167</f>
        <v>0.15321993827819824</v>
      </c>
      <c r="AG143" s="3">
        <f t="shared" si="117"/>
        <v>153.21993827819824</v>
      </c>
      <c r="AL143" s="4">
        <f>1628875099.92507-1628875099.73556</f>
        <v>0.18951010704040527</v>
      </c>
      <c r="AM143" s="3">
        <f t="shared" si="118"/>
        <v>189.51010704040527</v>
      </c>
      <c r="AO143" s="4">
        <f>1628875099.92925-1628875099.73556</f>
        <v>0.19369006156921387</v>
      </c>
      <c r="AP143" s="3">
        <f t="shared" si="119"/>
        <v>193.69006156921387</v>
      </c>
      <c r="AR143" s="4">
        <f>1628875099.93344-1628875099.73556</f>
        <v>0.19788002967834473</v>
      </c>
      <c r="AS143" s="3">
        <f t="shared" si="120"/>
        <v>197.88002967834473</v>
      </c>
      <c r="AU143" s="4">
        <f>1628875099.93716-1628875099.73556</f>
        <v>0.20160007476806641</v>
      </c>
      <c r="AV143" s="3">
        <f t="shared" si="121"/>
        <v>201.60007476806641</v>
      </c>
      <c r="AX143" s="4">
        <f>1628875099.94126-1628875099.73556</f>
        <v>0.20570015907287598</v>
      </c>
      <c r="AY143" s="3">
        <f t="shared" si="122"/>
        <v>205.70015907287598</v>
      </c>
    </row>
    <row r="144" spans="2:51" x14ac:dyDescent="0.3">
      <c r="B144" s="4">
        <f>1628869651.08812-1628869651.0824</f>
        <v>5.7199001312255859E-3</v>
      </c>
      <c r="C144" s="3">
        <f t="shared" si="108"/>
        <v>5.7199001312255859</v>
      </c>
      <c r="E144" s="4">
        <f>1628869651.08855-1628869651.0824</f>
        <v>6.1500072479248047E-3</v>
      </c>
      <c r="F144" s="3">
        <f t="shared" si="109"/>
        <v>6.1500072479248047</v>
      </c>
      <c r="H144" s="4">
        <f>1628869651.08896-1628869651.0824</f>
        <v>6.5598487854003906E-3</v>
      </c>
      <c r="I144" s="3">
        <f t="shared" si="110"/>
        <v>6.5598487854003906</v>
      </c>
      <c r="K144" s="4">
        <f>1628869651.08847-1628869651.0824</f>
        <v>6.0698986053466797E-3</v>
      </c>
      <c r="L144" s="3">
        <f t="shared" si="111"/>
        <v>6.0698986053466797</v>
      </c>
      <c r="N144" s="4">
        <f>1628869651.08817-1628869651.0824</f>
        <v>5.7699680328369141E-3</v>
      </c>
      <c r="O144" s="3">
        <f t="shared" si="112"/>
        <v>5.7699680328369141</v>
      </c>
      <c r="T144" s="4">
        <f>1628873564.26968-1628873564.07584</f>
        <v>0.19384002685546875</v>
      </c>
      <c r="U144" s="3">
        <f t="shared" si="113"/>
        <v>193.84002685546875</v>
      </c>
      <c r="W144" s="4">
        <f>1628873564.27383-1628873564.07584</f>
        <v>0.19798994064331055</v>
      </c>
      <c r="X144" s="3">
        <f t="shared" si="114"/>
        <v>197.98994064331055</v>
      </c>
      <c r="Z144" s="4">
        <f>1628873564.27792-1628873564.07584</f>
        <v>0.20208001136779785</v>
      </c>
      <c r="AA144" s="3">
        <f t="shared" si="115"/>
        <v>202.08001136779785</v>
      </c>
      <c r="AC144" s="4">
        <f>1628873564.28142-1628873564.07584</f>
        <v>0.20557999610900879</v>
      </c>
      <c r="AD144" s="3">
        <f t="shared" si="116"/>
        <v>205.57999610900879</v>
      </c>
      <c r="AF144" s="4">
        <f>1628873564.28524-1628873564.07584</f>
        <v>0.20939993858337402</v>
      </c>
      <c r="AG144" s="3">
        <f t="shared" si="117"/>
        <v>209.39993858337402</v>
      </c>
      <c r="AL144" s="4">
        <f>1628875101.18819-1628875101.00213</f>
        <v>0.18605995178222656</v>
      </c>
      <c r="AM144" s="3">
        <f t="shared" si="118"/>
        <v>186.05995178222656</v>
      </c>
      <c r="AO144" s="4">
        <f>1628875101.19072-1628875101.00213</f>
        <v>0.18859004974365234</v>
      </c>
      <c r="AP144" s="3">
        <f t="shared" si="119"/>
        <v>188.59004974365234</v>
      </c>
      <c r="AR144" s="4">
        <f>1628875101.19473-1628875101.00213</f>
        <v>0.19260001182556152</v>
      </c>
      <c r="AS144" s="3">
        <f t="shared" si="120"/>
        <v>192.60001182556152</v>
      </c>
      <c r="AU144" s="4">
        <f>1628875101.19894-1628875101.00213</f>
        <v>0.19681000709533691</v>
      </c>
      <c r="AV144" s="3">
        <f t="shared" si="121"/>
        <v>196.81000709533691</v>
      </c>
      <c r="AX144" s="4">
        <f>1628875101.20318-1628875101.00213</f>
        <v>0.2010500431060791</v>
      </c>
      <c r="AY144" s="3">
        <f t="shared" si="122"/>
        <v>201.0500431060791</v>
      </c>
    </row>
    <row r="145" spans="2:51" x14ac:dyDescent="0.3">
      <c r="B145" s="4">
        <f>1628869652.09523-1628869652.08963</f>
        <v>5.6002140045166016E-3</v>
      </c>
      <c r="C145" s="3">
        <f t="shared" si="108"/>
        <v>5.6002140045166016</v>
      </c>
      <c r="E145" s="4">
        <f>1628869652.0956-1628869652.08963</f>
        <v>5.970001220703125E-3</v>
      </c>
      <c r="F145" s="3">
        <f t="shared" si="109"/>
        <v>5.970001220703125</v>
      </c>
      <c r="H145" s="4">
        <f>1628869652.09597-1628869652.08963</f>
        <v>6.34002685546875E-3</v>
      </c>
      <c r="I145" s="3">
        <f t="shared" si="110"/>
        <v>6.34002685546875</v>
      </c>
      <c r="K145" s="4">
        <f>1628869652.09555-1628869652.08963</f>
        <v>5.9201717376708984E-3</v>
      </c>
      <c r="L145" s="3">
        <f t="shared" si="111"/>
        <v>5.9201717376708984</v>
      </c>
      <c r="N145" s="4">
        <f>1628869652.09525-1628869652.08963</f>
        <v>5.6200027465820313E-3</v>
      </c>
      <c r="O145" s="3">
        <f t="shared" si="112"/>
        <v>5.6200027465820313</v>
      </c>
      <c r="T145" s="4">
        <f>1628873565.54089-1628873565.35344</f>
        <v>0.18744993209838867</v>
      </c>
      <c r="U145" s="3">
        <f t="shared" si="113"/>
        <v>187.44993209838867</v>
      </c>
      <c r="W145" s="4">
        <f>1628873565.54555-1628873565.35344</f>
        <v>0.19211006164550781</v>
      </c>
      <c r="X145" s="3">
        <f t="shared" si="114"/>
        <v>192.11006164550781</v>
      </c>
      <c r="Z145" s="4">
        <f>1628873565.54968-1628873565.35344</f>
        <v>0.19623994827270508</v>
      </c>
      <c r="AA145" s="3">
        <f t="shared" si="115"/>
        <v>196.23994827270508</v>
      </c>
      <c r="AC145" s="4">
        <f>1628873565.55389-1628873565.35344</f>
        <v>0.20044994354248047</v>
      </c>
      <c r="AD145" s="3">
        <f t="shared" si="116"/>
        <v>200.44994354248047</v>
      </c>
      <c r="AF145" s="4">
        <f>1628873565.55823-1628873565.35344</f>
        <v>0.20478987693786621</v>
      </c>
      <c r="AG145" s="3">
        <f t="shared" si="117"/>
        <v>204.78987693786621</v>
      </c>
      <c r="AL145" s="4">
        <f>1628875102.46071-1628875102.26671</f>
        <v>0.1940000057220459</v>
      </c>
      <c r="AM145" s="3">
        <f t="shared" si="118"/>
        <v>194.0000057220459</v>
      </c>
      <c r="AO145" s="4">
        <f>1628875102.46382-1628875102.26671</f>
        <v>0.19710993766784668</v>
      </c>
      <c r="AP145" s="3">
        <f t="shared" si="119"/>
        <v>197.10993766784668</v>
      </c>
      <c r="AR145" s="4">
        <f>1628875102.46848-1628875102.26671</f>
        <v>0.20177006721496582</v>
      </c>
      <c r="AS145" s="3">
        <f t="shared" si="120"/>
        <v>201.77006721496582</v>
      </c>
      <c r="AU145" s="4">
        <f>1628875102.47247-1628875102.26671</f>
        <v>0.20576000213623047</v>
      </c>
      <c r="AV145" s="3">
        <f t="shared" si="121"/>
        <v>205.76000213623047</v>
      </c>
      <c r="AX145" s="4">
        <f>1628875102.47618-1628875102.26671</f>
        <v>0.20947003364562988</v>
      </c>
      <c r="AY145" s="3">
        <f t="shared" si="122"/>
        <v>209.47003364562988</v>
      </c>
    </row>
    <row r="146" spans="2:51" x14ac:dyDescent="0.3">
      <c r="B146" s="4">
        <f>1628869653.10171-1628869653.09703</f>
        <v>4.6801567077636719E-3</v>
      </c>
      <c r="C146" s="3">
        <f t="shared" si="108"/>
        <v>4.6801567077636719</v>
      </c>
      <c r="E146" s="4">
        <f>1628869653.10262-1628869653.09703</f>
        <v>5.5899620056152344E-3</v>
      </c>
      <c r="F146" s="3">
        <f t="shared" si="109"/>
        <v>5.5899620056152344</v>
      </c>
      <c r="H146" s="4">
        <f>1628869653.10297-1628869653.09703</f>
        <v>5.9399604797363281E-3</v>
      </c>
      <c r="I146" s="3">
        <f t="shared" si="110"/>
        <v>5.9399604797363281</v>
      </c>
      <c r="K146" s="4">
        <f>1628869653.1021-1628869653.09703</f>
        <v>5.0699710845947266E-3</v>
      </c>
      <c r="L146" s="3">
        <f t="shared" si="111"/>
        <v>5.0699710845947266</v>
      </c>
      <c r="N146" s="4">
        <f>1628869653.10181-1628869653.09703</f>
        <v>4.7800540924072266E-3</v>
      </c>
      <c r="O146" s="3">
        <f t="shared" si="112"/>
        <v>4.7800540924072266</v>
      </c>
      <c r="T146" s="4">
        <f>1628873566.81039-1628873566.62751</f>
        <v>0.18287992477416992</v>
      </c>
      <c r="U146" s="3">
        <f t="shared" si="113"/>
        <v>182.87992477416992</v>
      </c>
      <c r="W146" s="4">
        <f>1628873566.81388-1628873566.62751</f>
        <v>0.18636989593505859</v>
      </c>
      <c r="X146" s="3">
        <f t="shared" si="114"/>
        <v>186.36989593505859</v>
      </c>
      <c r="Z146" s="4">
        <f>1628873566.81792-1628873566.62751</f>
        <v>0.19040989875793457</v>
      </c>
      <c r="AA146" s="3">
        <f t="shared" si="115"/>
        <v>190.40989875793457</v>
      </c>
      <c r="AC146" s="4">
        <f>1628873566.82175-1628873566.62751</f>
        <v>0.19423985481262207</v>
      </c>
      <c r="AD146" s="3">
        <f t="shared" si="116"/>
        <v>194.23985481262207</v>
      </c>
      <c r="AF146" s="4">
        <f>1628873566.82617-1628873566.62751</f>
        <v>0.19865989685058594</v>
      </c>
      <c r="AG146" s="3">
        <f t="shared" si="117"/>
        <v>198.65989685058594</v>
      </c>
      <c r="AL146" s="4">
        <f>1628875103.72758-1628875103.5344</f>
        <v>0.19318008422851563</v>
      </c>
      <c r="AM146" s="3">
        <f t="shared" si="118"/>
        <v>193.18008422851563</v>
      </c>
      <c r="AO146" s="4">
        <f>1628875103.73098-1628875103.5344</f>
        <v>0.19657993316650391</v>
      </c>
      <c r="AP146" s="3">
        <f t="shared" si="119"/>
        <v>196.57993316650391</v>
      </c>
      <c r="AR146" s="4">
        <f>1628875103.73494-1628875103.5344</f>
        <v>0.20054006576538086</v>
      </c>
      <c r="AS146" s="3">
        <f t="shared" si="120"/>
        <v>200.54006576538086</v>
      </c>
      <c r="AU146" s="4">
        <f>1628875103.73943-1628875103.5344</f>
        <v>0.20502996444702148</v>
      </c>
      <c r="AV146" s="3">
        <f t="shared" si="121"/>
        <v>205.02996444702148</v>
      </c>
      <c r="AX146" s="4">
        <f>1628875103.74371-1628875103.5344</f>
        <v>0.20931005477905273</v>
      </c>
      <c r="AY146" s="3">
        <f t="shared" si="122"/>
        <v>209.31005477905273</v>
      </c>
    </row>
    <row r="147" spans="2:51" x14ac:dyDescent="0.3">
      <c r="B147" s="4">
        <f>1628869654.10899-1628869654.10327</f>
        <v>5.7199001312255859E-3</v>
      </c>
      <c r="C147" s="3">
        <f t="shared" si="108"/>
        <v>5.7199001312255859</v>
      </c>
      <c r="E147" s="4">
        <f>1628869654.10893-1628869654.10327</f>
        <v>5.6600570678710938E-3</v>
      </c>
      <c r="F147" s="3">
        <f t="shared" si="109"/>
        <v>5.6600570678710938</v>
      </c>
      <c r="H147" s="4">
        <f>1628869654.1097-1628869654.10327</f>
        <v>6.4299106597900391E-3</v>
      </c>
      <c r="I147" s="3">
        <f t="shared" si="110"/>
        <v>6.4299106597900391</v>
      </c>
      <c r="K147" s="4">
        <f>1628869654.10935-1628869654.10327</f>
        <v>6.0799121856689453E-3</v>
      </c>
      <c r="L147" s="3">
        <f t="shared" si="111"/>
        <v>6.0799121856689453</v>
      </c>
      <c r="N147" s="4">
        <f>1628869654.10995-1628869654.10327</f>
        <v>6.6800117492675781E-3</v>
      </c>
      <c r="O147" s="3">
        <f t="shared" si="112"/>
        <v>6.6800117492675781</v>
      </c>
      <c r="T147" s="4">
        <f>1628873568.08033-1628873567.88822</f>
        <v>0.19210982322692871</v>
      </c>
      <c r="U147" s="3">
        <f t="shared" si="113"/>
        <v>192.10982322692871</v>
      </c>
      <c r="W147" s="4">
        <f>1628873568.08298-1628873567.88822</f>
        <v>0.19475984573364258</v>
      </c>
      <c r="X147" s="3">
        <f t="shared" si="114"/>
        <v>194.75984573364258</v>
      </c>
      <c r="Z147" s="4">
        <f>1628873568.08667-1628873567.88822</f>
        <v>0.19844985008239746</v>
      </c>
      <c r="AA147" s="3">
        <f t="shared" si="115"/>
        <v>198.44985008239746</v>
      </c>
      <c r="AC147" s="4">
        <f>1628873568.09044-1628873567.88822</f>
        <v>0.20221996307373047</v>
      </c>
      <c r="AD147" s="3">
        <f t="shared" si="116"/>
        <v>202.21996307373047</v>
      </c>
      <c r="AF147" s="4">
        <f>1628873568.09417-1628873567.88822</f>
        <v>0.20595002174377441</v>
      </c>
      <c r="AG147" s="3">
        <f t="shared" si="117"/>
        <v>205.95002174377441</v>
      </c>
      <c r="AL147" s="4">
        <f>1628875105.00293-1628875104.81043</f>
        <v>0.19249987602233887</v>
      </c>
      <c r="AM147" s="3">
        <f t="shared" si="118"/>
        <v>192.49987602233887</v>
      </c>
      <c r="AO147" s="4">
        <f>1628875105.0062-1628875104.81043</f>
        <v>0.1957700252532959</v>
      </c>
      <c r="AP147" s="3">
        <f t="shared" si="119"/>
        <v>195.7700252532959</v>
      </c>
      <c r="AR147" s="4">
        <f>1628875105.01045-1628875104.81043</f>
        <v>0.20001983642578125</v>
      </c>
      <c r="AS147" s="3">
        <f t="shared" si="120"/>
        <v>200.01983642578125</v>
      </c>
      <c r="AU147" s="4">
        <f>1628875105.01322-1628875104.81043</f>
        <v>0.2027900218963623</v>
      </c>
      <c r="AV147" s="3">
        <f t="shared" si="121"/>
        <v>202.7900218963623</v>
      </c>
      <c r="AX147" s="4">
        <f>1628875105.01646-1628875104.81043</f>
        <v>0.20602989196777344</v>
      </c>
      <c r="AY147" s="3">
        <f t="shared" si="122"/>
        <v>206.02989196777344</v>
      </c>
    </row>
    <row r="148" spans="2:51" x14ac:dyDescent="0.3">
      <c r="B148" s="4">
        <f>1628869655.11622-1628869655.11052</f>
        <v>5.7001113891601563E-3</v>
      </c>
      <c r="C148" s="3">
        <f t="shared" si="108"/>
        <v>5.7001113891601563</v>
      </c>
      <c r="E148" s="4">
        <f>1628869655.11615-1628869655.11052</f>
        <v>5.6300163269042969E-3</v>
      </c>
      <c r="F148" s="3">
        <f t="shared" si="109"/>
        <v>5.6300163269042969</v>
      </c>
      <c r="H148" s="4">
        <f>1628869655.11699-1628869655.11052</f>
        <v>6.4702033996582031E-3</v>
      </c>
      <c r="I148" s="3">
        <f t="shared" si="110"/>
        <v>6.4702033996582031</v>
      </c>
      <c r="K148" s="4">
        <f>1628869655.1165-1628869655.11052</f>
        <v>5.9800148010253906E-3</v>
      </c>
      <c r="L148" s="3">
        <f t="shared" si="111"/>
        <v>5.9800148010253906</v>
      </c>
      <c r="N148" s="4">
        <f>1628869655.11659-1628869655.11052</f>
        <v>6.0701370239257813E-3</v>
      </c>
      <c r="O148" s="3">
        <f t="shared" si="112"/>
        <v>6.0701370239257813</v>
      </c>
      <c r="T148" s="4">
        <f>1628873569.34084-1628873569.15379</f>
        <v>0.18705010414123535</v>
      </c>
      <c r="U148" s="3">
        <f t="shared" si="113"/>
        <v>187.05010414123535</v>
      </c>
      <c r="W148" s="4">
        <f>1628873569.34405-1628873569.15379</f>
        <v>0.19025993347167969</v>
      </c>
      <c r="X148" s="3">
        <f t="shared" si="114"/>
        <v>190.25993347167969</v>
      </c>
      <c r="Z148" s="4">
        <f>1628873569.34815-1628873569.15379</f>
        <v>0.19436001777648926</v>
      </c>
      <c r="AA148" s="3">
        <f t="shared" si="115"/>
        <v>194.36001777648926</v>
      </c>
      <c r="AC148" s="4">
        <f>1628873569.35057-1628873569.15379</f>
        <v>0.19677996635437012</v>
      </c>
      <c r="AD148" s="3">
        <f t="shared" si="116"/>
        <v>196.77996635437012</v>
      </c>
      <c r="AF148" s="4">
        <f>1628873569.35445-1628873569.15379</f>
        <v>0.20065999031066895</v>
      </c>
      <c r="AG148" s="3">
        <f t="shared" si="117"/>
        <v>200.65999031066895</v>
      </c>
      <c r="AL148" s="4">
        <f>1628875106.26646-1628875106.07662</f>
        <v>0.18983983993530273</v>
      </c>
      <c r="AM148" s="3">
        <f t="shared" si="118"/>
        <v>189.83983993530273</v>
      </c>
      <c r="AO148" s="4">
        <f>1628875106.2706-1628875106.07662</f>
        <v>0.19397997856140137</v>
      </c>
      <c r="AP148" s="3">
        <f t="shared" si="119"/>
        <v>193.97997856140137</v>
      </c>
      <c r="AR148" s="4">
        <f>1628875106.27489-1628875106.07662</f>
        <v>0.19826984405517578</v>
      </c>
      <c r="AS148" s="3">
        <f t="shared" si="120"/>
        <v>198.26984405517578</v>
      </c>
      <c r="AU148" s="4">
        <f>1628875106.27938-1628875106.07662</f>
        <v>0.20275998115539551</v>
      </c>
      <c r="AV148" s="3">
        <f t="shared" si="121"/>
        <v>202.75998115539551</v>
      </c>
      <c r="AX148" s="4">
        <f>1628875106.2835-1628875106.07662</f>
        <v>0.20687985420227051</v>
      </c>
      <c r="AY148" s="3">
        <f t="shared" si="122"/>
        <v>206.87985420227051</v>
      </c>
    </row>
    <row r="149" spans="2:51" x14ac:dyDescent="0.3">
      <c r="B149" s="4">
        <f>1628869656.12353-1628869656.11783</f>
        <v>5.6998729705810547E-3</v>
      </c>
      <c r="C149" s="3">
        <f t="shared" si="108"/>
        <v>5.6998729705810547</v>
      </c>
      <c r="E149" s="4">
        <f>1628869656.12347-1628869656.11783</f>
        <v>5.6400299072265625E-3</v>
      </c>
      <c r="F149" s="3">
        <f t="shared" si="109"/>
        <v>5.6400299072265625</v>
      </c>
      <c r="H149" s="4">
        <f>1628869656.12389-1628869656.11783</f>
        <v>6.0598850250244141E-3</v>
      </c>
      <c r="I149" s="3">
        <f t="shared" si="110"/>
        <v>6.0598850250244141</v>
      </c>
      <c r="K149" s="4">
        <f>1628869656.12378-1628869656.11783</f>
        <v>5.9499740600585938E-3</v>
      </c>
      <c r="L149" s="3">
        <f t="shared" si="111"/>
        <v>5.9499740600585938</v>
      </c>
      <c r="N149" s="4">
        <f>1628869656.12429-1628869656.11783</f>
        <v>6.4599514007568359E-3</v>
      </c>
      <c r="O149" s="3">
        <f t="shared" si="112"/>
        <v>6.4599514007568359</v>
      </c>
      <c r="T149" s="4">
        <f>1628873570.61174-1628873570.42245</f>
        <v>0.18929004669189453</v>
      </c>
      <c r="U149" s="3">
        <f t="shared" si="113"/>
        <v>189.29004669189453</v>
      </c>
      <c r="W149" s="4">
        <f>1628873570.61559-1628873570.42245</f>
        <v>0.19314002990722656</v>
      </c>
      <c r="X149" s="3">
        <f t="shared" si="114"/>
        <v>193.14002990722656</v>
      </c>
      <c r="Z149" s="4">
        <f>1628873570.61991-1628873570.42245</f>
        <v>0.19745993614196777</v>
      </c>
      <c r="AA149" s="3">
        <f t="shared" si="115"/>
        <v>197.45993614196777</v>
      </c>
      <c r="AC149" s="4">
        <f>1628873570.62421-1628873570.42245</f>
        <v>0.20175981521606445</v>
      </c>
      <c r="AD149" s="3">
        <f t="shared" si="116"/>
        <v>201.75981521606445</v>
      </c>
      <c r="AF149" s="4">
        <f>1628873570.6281-1628873570.42245</f>
        <v>0.20564985275268555</v>
      </c>
      <c r="AG149" s="3">
        <f t="shared" si="117"/>
        <v>205.64985275268555</v>
      </c>
      <c r="AL149" s="4">
        <f>1628875107.53122-1628875107.34241</f>
        <v>0.18880987167358398</v>
      </c>
      <c r="AM149" s="3">
        <f t="shared" si="118"/>
        <v>188.80987167358398</v>
      </c>
      <c r="AO149" s="4">
        <f>1628875107.53495-1628875107.34241</f>
        <v>0.19253993034362793</v>
      </c>
      <c r="AP149" s="3">
        <f t="shared" si="119"/>
        <v>192.53993034362793</v>
      </c>
      <c r="AR149" s="4">
        <f>1628875107.53931-1628875107.34241</f>
        <v>0.1968998908996582</v>
      </c>
      <c r="AS149" s="3">
        <f t="shared" si="120"/>
        <v>196.8998908996582</v>
      </c>
      <c r="AU149" s="4">
        <f>1628875107.54326-1628875107.34241</f>
        <v>0.20085000991821289</v>
      </c>
      <c r="AV149" s="3">
        <f t="shared" si="121"/>
        <v>200.85000991821289</v>
      </c>
      <c r="AX149" s="4">
        <f>1628875107.54687-1628875107.34241</f>
        <v>0.20445990562438965</v>
      </c>
      <c r="AY149" s="3">
        <f t="shared" si="122"/>
        <v>204.45990562438965</v>
      </c>
    </row>
    <row r="150" spans="2:51" x14ac:dyDescent="0.3">
      <c r="B150" s="4">
        <f>1628869657.13067-1628869657.12504</f>
        <v>5.6300163269042969E-3</v>
      </c>
      <c r="C150" s="3">
        <f t="shared" si="108"/>
        <v>5.6300163269042969</v>
      </c>
      <c r="E150" s="4">
        <f>1628869657.13071-1628869657.12504</f>
        <v>5.6698322296142578E-3</v>
      </c>
      <c r="F150" s="3">
        <f t="shared" si="109"/>
        <v>5.6698322296142578</v>
      </c>
      <c r="H150" s="4">
        <f>1628869657.13136-1628869657.12504</f>
        <v>6.3199996948242188E-3</v>
      </c>
      <c r="I150" s="3">
        <f t="shared" si="110"/>
        <v>6.3199996948242188</v>
      </c>
      <c r="K150" s="4">
        <f>1628869657.13447-1628869657.12504</f>
        <v>9.429931640625E-3</v>
      </c>
      <c r="L150" s="3">
        <f t="shared" si="111"/>
        <v>9.429931640625</v>
      </c>
      <c r="N150" s="4">
        <f>1628869657.13469-1628869657.12504</f>
        <v>9.6499919891357422E-3</v>
      </c>
      <c r="O150" s="3">
        <f t="shared" si="112"/>
        <v>9.6499919891357422</v>
      </c>
      <c r="T150" s="4">
        <f>1628873571.87792-1628873571.69399</f>
        <v>0.1839299201965332</v>
      </c>
      <c r="U150" s="3">
        <f t="shared" si="113"/>
        <v>183.9299201965332</v>
      </c>
      <c r="W150" s="4">
        <f>1628873571.88208-1628873571.69399</f>
        <v>0.18809008598327637</v>
      </c>
      <c r="X150" s="3">
        <f t="shared" si="114"/>
        <v>188.09008598327637</v>
      </c>
      <c r="Z150" s="4">
        <f>1628873571.88666-1628873571.69399</f>
        <v>0.19267010688781738</v>
      </c>
      <c r="AA150" s="3">
        <f t="shared" si="115"/>
        <v>192.67010688781738</v>
      </c>
      <c r="AC150" s="4">
        <f>1628873571.89084-1628873571.69399</f>
        <v>0.19685006141662598</v>
      </c>
      <c r="AD150" s="3">
        <f t="shared" si="116"/>
        <v>196.85006141662598</v>
      </c>
      <c r="AF150" s="4">
        <f>1628873571.89519-1628873571.69399</f>
        <v>0.20120000839233398</v>
      </c>
      <c r="AG150" s="3">
        <f t="shared" si="117"/>
        <v>201.20000839233398</v>
      </c>
      <c r="AL150" s="4">
        <f>1628875108.79852-1628875108.6092</f>
        <v>0.18932008743286133</v>
      </c>
      <c r="AM150" s="3">
        <f t="shared" si="118"/>
        <v>189.32008743286133</v>
      </c>
      <c r="AO150" s="4">
        <f>1628875108.80259-1628875108.6092</f>
        <v>0.193389892578125</v>
      </c>
      <c r="AP150" s="3">
        <f t="shared" si="119"/>
        <v>193.389892578125</v>
      </c>
      <c r="AR150" s="4">
        <f>1628875108.80706-1628875108.6092</f>
        <v>0.1978600025177002</v>
      </c>
      <c r="AS150" s="3">
        <f t="shared" si="120"/>
        <v>197.8600025177002</v>
      </c>
      <c r="AU150" s="4">
        <f>1628875108.81117-1628875108.6092</f>
        <v>0.20197010040283203</v>
      </c>
      <c r="AV150" s="3">
        <f t="shared" si="121"/>
        <v>201.97010040283203</v>
      </c>
      <c r="AX150" s="4">
        <f>1628875108.81515-1628875108.6092</f>
        <v>0.20595002174377441</v>
      </c>
      <c r="AY150" s="3">
        <f t="shared" si="122"/>
        <v>205.95002174377441</v>
      </c>
    </row>
    <row r="151" spans="2:51" x14ac:dyDescent="0.3">
      <c r="C151" s="2">
        <f>AVERAGE(C141:C150)</f>
        <v>5.5960178375244141</v>
      </c>
      <c r="F151" s="2">
        <f>AVERAGE(F141:F150)</f>
        <v>5.9109926223754883</v>
      </c>
      <c r="I151" s="2">
        <f>AVERAGE(I141:I150)</f>
        <v>6.428980827331543</v>
      </c>
      <c r="L151" s="2">
        <f>AVERAGE(L141:L150)</f>
        <v>6.347966194152832</v>
      </c>
      <c r="O151" s="2">
        <f>AVERAGE(O141:O150)</f>
        <v>6.2810182571411133</v>
      </c>
      <c r="U151" s="2">
        <f>AVERAGE(U141:U150)</f>
        <v>183.61594676971436</v>
      </c>
      <c r="X151" s="2">
        <f>AVERAGE(X141:X150)</f>
        <v>187.39895820617676</v>
      </c>
      <c r="AA151" s="2">
        <f>AVERAGE(AA141:AA150)</f>
        <v>191.5529727935791</v>
      </c>
      <c r="AD151" s="2">
        <f>AVERAGE(AD141:AD150)</f>
        <v>195.31197547912598</v>
      </c>
      <c r="AG151" s="2">
        <f>AVERAGE(AG141:AG150)</f>
        <v>199.40695762634277</v>
      </c>
      <c r="AM151" s="2">
        <f>AVERAGE(AM141:AM150)</f>
        <v>189.21198844909668</v>
      </c>
      <c r="AP151" s="2">
        <f>AVERAGE(AP141:AP150)</f>
        <v>192.87197589874268</v>
      </c>
      <c r="AS151" s="2">
        <f>AVERAGE(AS141:AS150)</f>
        <v>197.16796875</v>
      </c>
      <c r="AV151" s="2">
        <f>AVERAGE(AV141:AV150)</f>
        <v>201.24402046203613</v>
      </c>
      <c r="AY151" s="2">
        <f>AVERAGE(AY141:AY150)</f>
        <v>205.22499084472656</v>
      </c>
    </row>
    <row r="153" spans="2:51" x14ac:dyDescent="0.3">
      <c r="B153" s="6" t="s">
        <v>42</v>
      </c>
      <c r="C153" s="6"/>
      <c r="E153" s="6" t="s">
        <v>43</v>
      </c>
      <c r="F153" s="6"/>
      <c r="H153" s="6" t="s">
        <v>44</v>
      </c>
      <c r="I153" s="6"/>
      <c r="K153" s="6" t="s">
        <v>45</v>
      </c>
      <c r="L153" s="6"/>
      <c r="N153" s="6" t="s">
        <v>46</v>
      </c>
      <c r="O153" s="6"/>
      <c r="T153" s="6" t="s">
        <v>42</v>
      </c>
      <c r="U153" s="6"/>
      <c r="W153" s="6" t="s">
        <v>43</v>
      </c>
      <c r="X153" s="6"/>
      <c r="Z153" s="6" t="s">
        <v>44</v>
      </c>
      <c r="AA153" s="6"/>
      <c r="AC153" s="6" t="s">
        <v>45</v>
      </c>
      <c r="AD153" s="6"/>
      <c r="AF153" s="6" t="s">
        <v>46</v>
      </c>
      <c r="AG153" s="6"/>
      <c r="AL153" s="6" t="s">
        <v>42</v>
      </c>
      <c r="AM153" s="6"/>
      <c r="AO153" s="6" t="s">
        <v>43</v>
      </c>
      <c r="AP153" s="6"/>
      <c r="AR153" s="6" t="s">
        <v>44</v>
      </c>
      <c r="AS153" s="6"/>
      <c r="AU153" s="6" t="s">
        <v>45</v>
      </c>
      <c r="AV153" s="6"/>
      <c r="AX153" s="6" t="s">
        <v>46</v>
      </c>
      <c r="AY153" s="6"/>
    </row>
    <row r="154" spans="2:51" ht="29.4" customHeight="1" x14ac:dyDescent="0.3">
      <c r="B154" s="8" t="s">
        <v>2</v>
      </c>
      <c r="C154" s="8"/>
      <c r="E154" s="8" t="s">
        <v>2</v>
      </c>
      <c r="F154" s="8"/>
      <c r="H154" s="8" t="s">
        <v>2</v>
      </c>
      <c r="I154" s="8"/>
      <c r="K154" s="8" t="s">
        <v>2</v>
      </c>
      <c r="L154" s="8"/>
      <c r="N154" s="8" t="s">
        <v>2</v>
      </c>
      <c r="O154" s="8"/>
      <c r="T154" s="8" t="s">
        <v>62</v>
      </c>
      <c r="U154" s="8"/>
      <c r="W154" s="8" t="s">
        <v>62</v>
      </c>
      <c r="X154" s="8"/>
      <c r="Z154" s="8" t="s">
        <v>62</v>
      </c>
      <c r="AA154" s="8"/>
      <c r="AC154" s="8" t="s">
        <v>62</v>
      </c>
      <c r="AD154" s="8"/>
      <c r="AF154" s="8" t="s">
        <v>62</v>
      </c>
      <c r="AG154" s="8"/>
      <c r="AL154" s="8" t="s">
        <v>63</v>
      </c>
      <c r="AM154" s="8"/>
      <c r="AO154" s="8" t="s">
        <v>63</v>
      </c>
      <c r="AP154" s="8"/>
      <c r="AR154" s="8" t="s">
        <v>63</v>
      </c>
      <c r="AS154" s="8"/>
      <c r="AU154" s="8" t="s">
        <v>63</v>
      </c>
      <c r="AV154" s="8"/>
      <c r="AX154" s="8" t="s">
        <v>63</v>
      </c>
      <c r="AY154" s="8"/>
    </row>
    <row r="155" spans="2:51" x14ac:dyDescent="0.3">
      <c r="B155" s="1" t="s">
        <v>1</v>
      </c>
      <c r="C155" s="1" t="s">
        <v>0</v>
      </c>
      <c r="E155" s="1" t="s">
        <v>1</v>
      </c>
      <c r="F155" s="1" t="s">
        <v>0</v>
      </c>
      <c r="H155" s="1" t="s">
        <v>1</v>
      </c>
      <c r="I155" s="1" t="s">
        <v>0</v>
      </c>
      <c r="K155" s="1" t="s">
        <v>1</v>
      </c>
      <c r="L155" s="1" t="s">
        <v>0</v>
      </c>
      <c r="N155" s="1" t="s">
        <v>1</v>
      </c>
      <c r="O155" s="1" t="s">
        <v>0</v>
      </c>
      <c r="T155" s="1" t="s">
        <v>1</v>
      </c>
      <c r="U155" s="1" t="s">
        <v>0</v>
      </c>
      <c r="W155" s="1" t="s">
        <v>1</v>
      </c>
      <c r="X155" s="1" t="s">
        <v>0</v>
      </c>
      <c r="Z155" s="1" t="s">
        <v>1</v>
      </c>
      <c r="AA155" s="1" t="s">
        <v>0</v>
      </c>
      <c r="AC155" s="1" t="s">
        <v>1</v>
      </c>
      <c r="AD155" s="1" t="s">
        <v>0</v>
      </c>
      <c r="AF155" s="1" t="s">
        <v>1</v>
      </c>
      <c r="AG155" s="1" t="s">
        <v>0</v>
      </c>
      <c r="AL155" s="1" t="s">
        <v>1</v>
      </c>
      <c r="AM155" s="1" t="s">
        <v>0</v>
      </c>
      <c r="AO155" s="1" t="s">
        <v>1</v>
      </c>
      <c r="AP155" s="1" t="s">
        <v>0</v>
      </c>
      <c r="AR155" s="1" t="s">
        <v>1</v>
      </c>
      <c r="AS155" s="1" t="s">
        <v>0</v>
      </c>
      <c r="AU155" s="1" t="s">
        <v>1</v>
      </c>
      <c r="AV155" s="1" t="s">
        <v>0</v>
      </c>
      <c r="AX155" s="1" t="s">
        <v>1</v>
      </c>
      <c r="AY155" s="1" t="s">
        <v>0</v>
      </c>
    </row>
    <row r="156" spans="2:51" x14ac:dyDescent="0.3">
      <c r="B156" s="4">
        <f>1628869648.06731-1628869648.06002</f>
        <v>7.2901248931884766E-3</v>
      </c>
      <c r="C156" s="3">
        <f>B156*1000</f>
        <v>7.2901248931884766</v>
      </c>
      <c r="E156" s="4">
        <f>1628869648.0673-1628869648.06002</f>
        <v>7.2801113128662109E-3</v>
      </c>
      <c r="F156" s="3">
        <f>E156*1000</f>
        <v>7.2801113128662109</v>
      </c>
      <c r="H156" s="4">
        <f>1628869648.06769-1628869648.06002</f>
        <v>7.6699256896972656E-3</v>
      </c>
      <c r="I156" s="3">
        <f>H156*1000</f>
        <v>7.6699256896972656</v>
      </c>
      <c r="K156" s="4">
        <f>1628869648.06816-1628869648.06002</f>
        <v>8.1400871276855469E-3</v>
      </c>
      <c r="L156" s="3">
        <f>K156*1000</f>
        <v>8.1400871276855469</v>
      </c>
      <c r="N156" s="4">
        <f>1628869648.06745-1628869648.06002</f>
        <v>7.4300765991210938E-3</v>
      </c>
      <c r="O156" s="3">
        <f>N156*1000</f>
        <v>7.4300765991210938</v>
      </c>
      <c r="T156" s="4">
        <f>1628873560.54263-1628873560.32879</f>
        <v>0.21384000778198242</v>
      </c>
      <c r="U156" s="3">
        <f>T156*1000</f>
        <v>213.84000778198242</v>
      </c>
      <c r="W156" s="4">
        <f>1628873560.54614-1628873560.32879</f>
        <v>0.21735000610351563</v>
      </c>
      <c r="X156" s="3">
        <f>W156*1000</f>
        <v>217.35000610351563</v>
      </c>
      <c r="Z156" s="4">
        <f>1628873560.54899-1628873560.32879</f>
        <v>0.2202000617980957</v>
      </c>
      <c r="AA156" s="3">
        <f>Z156*1000</f>
        <v>220.2000617980957</v>
      </c>
      <c r="AC156" s="4">
        <f>1628873560.55325-1628873560.32879</f>
        <v>0.22446012496948242</v>
      </c>
      <c r="AD156" s="3">
        <f>AC156*1000</f>
        <v>224.46012496948242</v>
      </c>
      <c r="AF156" s="4">
        <f>1628873560.55637-1628873560.32879</f>
        <v>0.22758007049560547</v>
      </c>
      <c r="AG156" s="3">
        <f>AF156*1000</f>
        <v>227.58007049560547</v>
      </c>
      <c r="AL156" s="4">
        <f>1628875097.41367-1628875097.20454</f>
        <v>0.20913004875183105</v>
      </c>
      <c r="AM156" s="3">
        <f>AL156*1000</f>
        <v>209.13004875183105</v>
      </c>
      <c r="AO156" s="4">
        <f>1628875097.41774-1628875097.20454</f>
        <v>0.21320009231567383</v>
      </c>
      <c r="AP156" s="3">
        <f>AO156*1000</f>
        <v>213.20009231567383</v>
      </c>
      <c r="AR156" s="4">
        <f>1628875097.42169-1628875097.20454</f>
        <v>0.21714997291564941</v>
      </c>
      <c r="AS156" s="3">
        <f>AR156*1000</f>
        <v>217.14997291564941</v>
      </c>
      <c r="AU156" s="4">
        <f>1628875097.42574-1628875097.20454</f>
        <v>0.22119998931884766</v>
      </c>
      <c r="AV156" s="3">
        <f>AU156*1000</f>
        <v>221.19998931884766</v>
      </c>
      <c r="AX156" s="4">
        <f>1628875097.42979-1628875097.20454</f>
        <v>0.2252500057220459</v>
      </c>
      <c r="AY156" s="3">
        <f>AX156*1000</f>
        <v>225.2500057220459</v>
      </c>
    </row>
    <row r="157" spans="2:51" x14ac:dyDescent="0.3">
      <c r="B157" s="4">
        <f>1628869649.07462-1628869649.06764</f>
        <v>6.9799423217773438E-3</v>
      </c>
      <c r="C157" s="3">
        <f t="shared" ref="C157:C165" si="123">B157*1000</f>
        <v>6.9799423217773438</v>
      </c>
      <c r="E157" s="4">
        <f>1628869649.07466-1628869649.06764</f>
        <v>7.0199966430664063E-3</v>
      </c>
      <c r="F157" s="3">
        <f t="shared" ref="F157:F165" si="124">E157*1000</f>
        <v>7.0199966430664063</v>
      </c>
      <c r="H157" s="4">
        <f>1628869649.07533-1628869649.06764</f>
        <v>7.6899528503417969E-3</v>
      </c>
      <c r="I157" s="3">
        <f t="shared" ref="I157:I165" si="125">H157*1000</f>
        <v>7.6899528503417969</v>
      </c>
      <c r="K157" s="4">
        <f>1628869649.07499-1628869649.06764</f>
        <v>7.3499679565429688E-3</v>
      </c>
      <c r="L157" s="3">
        <f t="shared" ref="L157:L165" si="126">K157*1000</f>
        <v>7.3499679565429688</v>
      </c>
      <c r="N157" s="4">
        <f>1628869649.07479-1628869649.06764</f>
        <v>7.1499347686767578E-3</v>
      </c>
      <c r="O157" s="3">
        <f t="shared" ref="O157:O165" si="127">N157*1000</f>
        <v>7.1499347686767578</v>
      </c>
      <c r="T157" s="4">
        <f>1628873561.80961-1628873561.59871</f>
        <v>0.21089982986450195</v>
      </c>
      <c r="U157" s="3">
        <f t="shared" ref="U157:U165" si="128">T157*1000</f>
        <v>210.89982986450195</v>
      </c>
      <c r="W157" s="4">
        <f>1628873561.81357-1628873561.59871</f>
        <v>0.21485996246337891</v>
      </c>
      <c r="X157" s="3">
        <f t="shared" ref="X157:X165" si="129">W157*1000</f>
        <v>214.85996246337891</v>
      </c>
      <c r="Z157" s="4">
        <f>1628873561.81798-1628873561.59871</f>
        <v>0.21926999092102051</v>
      </c>
      <c r="AA157" s="3">
        <f t="shared" ref="AA157:AA165" si="130">Z157*1000</f>
        <v>219.26999092102051</v>
      </c>
      <c r="AC157" s="4">
        <f>1628873561.8224-1628873561.59871</f>
        <v>0.22369003295898438</v>
      </c>
      <c r="AD157" s="3">
        <f t="shared" ref="AD157:AD165" si="131">AC157*1000</f>
        <v>223.69003295898438</v>
      </c>
      <c r="AF157" s="4">
        <f>1628873561.82699-1628873561.59871</f>
        <v>0.22827982902526855</v>
      </c>
      <c r="AG157" s="3">
        <f t="shared" ref="AG157:AG165" si="132">AF157*1000</f>
        <v>228.27982902526855</v>
      </c>
      <c r="AL157" s="4">
        <f>1628875098.67736-1628875098.46874</f>
        <v>0.20862007141113281</v>
      </c>
      <c r="AM157" s="3">
        <f t="shared" ref="AM157:AM165" si="133">AL157*1000</f>
        <v>208.62007141113281</v>
      </c>
      <c r="AO157" s="4">
        <f>1628875098.68129-1628875098.46874</f>
        <v>0.21254992485046387</v>
      </c>
      <c r="AP157" s="3">
        <f t="shared" ref="AP157:AP165" si="134">AO157*1000</f>
        <v>212.54992485046387</v>
      </c>
      <c r="AR157" s="4">
        <f>1628875098.68504-1628875098.46874</f>
        <v>0.21630001068115234</v>
      </c>
      <c r="AS157" s="3">
        <f t="shared" ref="AS157:AS165" si="135">AR157*1000</f>
        <v>216.30001068115234</v>
      </c>
      <c r="AU157" s="4">
        <f>1628875098.68948-1628875098.46874</f>
        <v>0.22074007987976074</v>
      </c>
      <c r="AV157" s="3">
        <f t="shared" ref="AV157:AV165" si="136">AU157*1000</f>
        <v>220.74007987976074</v>
      </c>
      <c r="AX157" s="4">
        <f>1628875098.69335-1628875098.46874</f>
        <v>0.2246100902557373</v>
      </c>
      <c r="AY157" s="3">
        <f t="shared" ref="AY157:AY165" si="137">AX157*1000</f>
        <v>224.6100902557373</v>
      </c>
    </row>
    <row r="158" spans="2:51" x14ac:dyDescent="0.3">
      <c r="B158" s="4">
        <f>1628869650.08204-1628869650.07508</f>
        <v>6.9601535797119141E-3</v>
      </c>
      <c r="C158" s="3">
        <f t="shared" si="123"/>
        <v>6.9601535797119141</v>
      </c>
      <c r="E158" s="4">
        <f>1628869650.08206-1628869650.07508</f>
        <v>6.9801807403564453E-3</v>
      </c>
      <c r="F158" s="3">
        <f t="shared" si="124"/>
        <v>6.9801807403564453</v>
      </c>
      <c r="H158" s="4">
        <f>1628869650.08277-1628869650.07508</f>
        <v>7.6901912689208984E-3</v>
      </c>
      <c r="I158" s="3">
        <f t="shared" si="125"/>
        <v>7.6901912689208984</v>
      </c>
      <c r="K158" s="4">
        <f>1628869650.08237-1628869650.07508</f>
        <v>7.2901248931884766E-3</v>
      </c>
      <c r="L158" s="3">
        <f t="shared" si="126"/>
        <v>7.2901248931884766</v>
      </c>
      <c r="N158" s="4">
        <f>1628869650.08234-1628869650.07508</f>
        <v>7.2600841522216797E-3</v>
      </c>
      <c r="O158" s="3">
        <f t="shared" si="127"/>
        <v>7.2600841522216797</v>
      </c>
      <c r="T158" s="4">
        <f>1628873563.029-1628873562.87167</f>
        <v>0.15733003616333008</v>
      </c>
      <c r="U158" s="3">
        <f t="shared" si="128"/>
        <v>157.33003616333008</v>
      </c>
      <c r="W158" s="4">
        <f>1628873563.03237-1628873562.87167</f>
        <v>0.16070008277893066</v>
      </c>
      <c r="X158" s="3">
        <f t="shared" si="129"/>
        <v>160.70008277893066</v>
      </c>
      <c r="Z158" s="4">
        <f>1628873563.03543-1628873562.87167</f>
        <v>0.16375994682312012</v>
      </c>
      <c r="AA158" s="3">
        <f t="shared" si="130"/>
        <v>163.75994682312012</v>
      </c>
      <c r="AC158" s="4">
        <f>1628873563.03811-1628873562.87167</f>
        <v>0.16644001007080078</v>
      </c>
      <c r="AD158" s="3">
        <f t="shared" si="131"/>
        <v>166.44001007080078</v>
      </c>
      <c r="AF158" s="4">
        <f>1628873563.04114-1628873562.87167</f>
        <v>0.16947007179260254</v>
      </c>
      <c r="AG158" s="3">
        <f t="shared" si="132"/>
        <v>169.47007179260254</v>
      </c>
      <c r="AL158" s="4">
        <f>1628875099.9483-1628875099.73556</f>
        <v>0.21273994445800781</v>
      </c>
      <c r="AM158" s="3">
        <f t="shared" si="133"/>
        <v>212.73994445800781</v>
      </c>
      <c r="AO158" s="4">
        <f>1628875099.95291-1628875099.73556</f>
        <v>0.21735000610351563</v>
      </c>
      <c r="AP158" s="3">
        <f t="shared" si="134"/>
        <v>217.35000610351563</v>
      </c>
      <c r="AR158" s="4">
        <f>1628875099.9576-1628875099.73556</f>
        <v>0.22204017639160156</v>
      </c>
      <c r="AS158" s="3">
        <f t="shared" si="135"/>
        <v>222.04017639160156</v>
      </c>
      <c r="AU158" s="4">
        <f>1628875099.96086-1628875099.73556</f>
        <v>0.22530007362365723</v>
      </c>
      <c r="AV158" s="3">
        <f t="shared" si="136"/>
        <v>225.30007362365723</v>
      </c>
      <c r="AX158" s="4">
        <f>1628875099.96428-1628875099.73556</f>
        <v>0.22871994972229004</v>
      </c>
      <c r="AY158" s="3">
        <f t="shared" si="137"/>
        <v>228.71994972229004</v>
      </c>
    </row>
    <row r="159" spans="2:51" x14ac:dyDescent="0.3">
      <c r="B159" s="4">
        <f>1628869651.08955-1628869651.0824</f>
        <v>7.1499347686767578E-3</v>
      </c>
      <c r="C159" s="3">
        <f t="shared" si="123"/>
        <v>7.1499347686767578</v>
      </c>
      <c r="E159" s="4">
        <f>1628869651.08948-1628869651.0824</f>
        <v>7.0798397064208984E-3</v>
      </c>
      <c r="F159" s="3">
        <f t="shared" si="124"/>
        <v>7.0798397064208984</v>
      </c>
      <c r="H159" s="4">
        <f>1628869651.08983-1628869651.0824</f>
        <v>7.4298381805419922E-3</v>
      </c>
      <c r="I159" s="3">
        <f t="shared" si="125"/>
        <v>7.4298381805419922</v>
      </c>
      <c r="K159" s="4">
        <f>1628869651.08983-1628869651.0824</f>
        <v>7.4298381805419922E-3</v>
      </c>
      <c r="L159" s="3">
        <f t="shared" si="126"/>
        <v>7.4298381805419922</v>
      </c>
      <c r="N159" s="4">
        <f>1628869651.08954-1628869651.0824</f>
        <v>7.1399211883544922E-3</v>
      </c>
      <c r="O159" s="3">
        <f t="shared" si="127"/>
        <v>7.1399211883544922</v>
      </c>
      <c r="T159" s="4">
        <f>1628873564.2899-1628873564.07584</f>
        <v>0.21406006813049316</v>
      </c>
      <c r="U159" s="3">
        <f t="shared" si="128"/>
        <v>214.06006813049316</v>
      </c>
      <c r="W159" s="4">
        <f>1628873564.29401-1628873564.07584</f>
        <v>0.2181699275970459</v>
      </c>
      <c r="X159" s="3">
        <f t="shared" si="129"/>
        <v>218.1699275970459</v>
      </c>
      <c r="Z159" s="4">
        <f>1628873564.29823-1628873564.07584</f>
        <v>0.22238993644714355</v>
      </c>
      <c r="AA159" s="3">
        <f t="shared" si="130"/>
        <v>222.38993644714355</v>
      </c>
      <c r="AC159" s="4">
        <f>1628873564.30291-1628873564.07584</f>
        <v>0.22707009315490723</v>
      </c>
      <c r="AD159" s="3">
        <f t="shared" si="131"/>
        <v>227.07009315490723</v>
      </c>
      <c r="AF159" s="4">
        <f>1628873564.30705-1628873564.07584</f>
        <v>0.23120999336242676</v>
      </c>
      <c r="AG159" s="3">
        <f t="shared" si="132"/>
        <v>231.20999336242676</v>
      </c>
      <c r="AL159" s="4">
        <f>1628875101.21096-1628875101.00213</f>
        <v>0.20882987976074219</v>
      </c>
      <c r="AM159" s="3">
        <f t="shared" si="133"/>
        <v>208.82987976074219</v>
      </c>
      <c r="AO159" s="4">
        <f>1628875101.21517-1628875101.00213</f>
        <v>0.21303987503051758</v>
      </c>
      <c r="AP159" s="3">
        <f t="shared" si="134"/>
        <v>213.03987503051758</v>
      </c>
      <c r="AR159" s="4">
        <f>1628875101.21854-1628875101.00213</f>
        <v>0.21640992164611816</v>
      </c>
      <c r="AS159" s="3">
        <f t="shared" si="135"/>
        <v>216.40992164611816</v>
      </c>
      <c r="AU159" s="4">
        <f>1628875101.22292-1628875101.00213</f>
        <v>0.22078990936279297</v>
      </c>
      <c r="AV159" s="3">
        <f t="shared" si="136"/>
        <v>220.78990936279297</v>
      </c>
      <c r="AX159" s="4">
        <f>1628875101.22726-1628875101.00213</f>
        <v>0.22513008117675781</v>
      </c>
      <c r="AY159" s="3">
        <f t="shared" si="137"/>
        <v>225.13008117675781</v>
      </c>
    </row>
    <row r="160" spans="2:51" x14ac:dyDescent="0.3">
      <c r="B160" s="4">
        <f>1628869652.09656-1628869652.08963</f>
        <v>6.9301128387451172E-3</v>
      </c>
      <c r="C160" s="3">
        <f t="shared" si="123"/>
        <v>6.9301128387451172</v>
      </c>
      <c r="E160" s="4">
        <f>1628869652.0965-1628869652.08963</f>
        <v>6.8700313568115234E-3</v>
      </c>
      <c r="F160" s="3">
        <f t="shared" si="124"/>
        <v>6.8700313568115234</v>
      </c>
      <c r="H160" s="4">
        <f>1628869652.09709-1628869652.08963</f>
        <v>7.4601173400878906E-3</v>
      </c>
      <c r="I160" s="3">
        <f t="shared" si="125"/>
        <v>7.4601173400878906</v>
      </c>
      <c r="K160" s="4">
        <f>1628869652.09681-1628869652.08963</f>
        <v>7.1802139282226563E-3</v>
      </c>
      <c r="L160" s="3">
        <f t="shared" si="126"/>
        <v>7.1802139282226563</v>
      </c>
      <c r="N160" s="4">
        <f>1628869652.09667-1628869652.08963</f>
        <v>7.0400238037109375E-3</v>
      </c>
      <c r="O160" s="3">
        <f t="shared" si="127"/>
        <v>7.0400238037109375</v>
      </c>
      <c r="T160" s="4">
        <f>1628873565.56318-1628873565.35344</f>
        <v>0.20973992347717285</v>
      </c>
      <c r="U160" s="3">
        <f t="shared" si="128"/>
        <v>209.73992347717285</v>
      </c>
      <c r="W160" s="4">
        <f>1628873565.56682-1628873565.35344</f>
        <v>0.21337985992431641</v>
      </c>
      <c r="X160" s="3">
        <f t="shared" si="129"/>
        <v>213.37985992431641</v>
      </c>
      <c r="Z160" s="4">
        <f>1628873565.57136-1628873565.35344</f>
        <v>0.21792006492614746</v>
      </c>
      <c r="AA160" s="3">
        <f t="shared" si="130"/>
        <v>217.92006492614746</v>
      </c>
      <c r="AC160" s="4">
        <f>1628873565.57579-1628873565.35344</f>
        <v>0.22234988212585449</v>
      </c>
      <c r="AD160" s="3">
        <f t="shared" si="131"/>
        <v>222.34988212585449</v>
      </c>
      <c r="AF160" s="4">
        <f>1628873565.58086-1628873565.35344</f>
        <v>0.22741985321044922</v>
      </c>
      <c r="AG160" s="3">
        <f t="shared" si="132"/>
        <v>227.41985321044922</v>
      </c>
      <c r="AL160" s="4">
        <f>1628875102.48344-1628875102.26671</f>
        <v>0.21672987937927246</v>
      </c>
      <c r="AM160" s="3">
        <f t="shared" si="133"/>
        <v>216.72987937927246</v>
      </c>
      <c r="AO160" s="4">
        <f>1628875102.48605-1628875102.26671</f>
        <v>0.21933984756469727</v>
      </c>
      <c r="AP160" s="3">
        <f t="shared" si="134"/>
        <v>219.33984756469727</v>
      </c>
      <c r="AR160" s="4">
        <f>1628875102.49025-1628875102.26671</f>
        <v>0.22354006767272949</v>
      </c>
      <c r="AS160" s="3">
        <f t="shared" si="135"/>
        <v>223.54006767272949</v>
      </c>
      <c r="AU160" s="4">
        <f>1628875102.49452-1628875102.26671</f>
        <v>0.22780990600585938</v>
      </c>
      <c r="AV160" s="3">
        <f t="shared" si="136"/>
        <v>227.80990600585938</v>
      </c>
      <c r="AX160" s="4">
        <f>1628875102.49813-1628875102.26671</f>
        <v>0.23142004013061523</v>
      </c>
      <c r="AY160" s="3">
        <f t="shared" si="137"/>
        <v>231.42004013061523</v>
      </c>
    </row>
    <row r="161" spans="2:51" x14ac:dyDescent="0.3">
      <c r="B161" s="4">
        <f>1628869653.10316-1628869653.09703</f>
        <v>6.1299800872802734E-3</v>
      </c>
      <c r="C161" s="3">
        <f t="shared" si="123"/>
        <v>6.1299800872802734</v>
      </c>
      <c r="E161" s="4">
        <f>1628869653.10309-1628869653.09703</f>
        <v>6.0601234436035156E-3</v>
      </c>
      <c r="F161" s="3">
        <f t="shared" si="124"/>
        <v>6.0601234436035156</v>
      </c>
      <c r="H161" s="4">
        <f>1628869653.10377-1628869653.09703</f>
        <v>6.7400932312011719E-3</v>
      </c>
      <c r="I161" s="3">
        <f t="shared" si="125"/>
        <v>6.7400932312011719</v>
      </c>
      <c r="K161" s="4">
        <f>1628869653.10345-1628869653.09703</f>
        <v>6.420135498046875E-3</v>
      </c>
      <c r="L161" s="3">
        <f t="shared" si="126"/>
        <v>6.420135498046875</v>
      </c>
      <c r="N161" s="4">
        <f>1628869653.10326-1628869653.09703</f>
        <v>6.2301158905029297E-3</v>
      </c>
      <c r="O161" s="3">
        <f t="shared" si="127"/>
        <v>6.2301158905029297</v>
      </c>
      <c r="T161" s="4">
        <f>1628873566.831-1628873566.62751</f>
        <v>0.20349001884460449</v>
      </c>
      <c r="U161" s="3">
        <f t="shared" si="128"/>
        <v>203.49001884460449</v>
      </c>
      <c r="W161" s="4">
        <f>1628873566.83411-1628873566.62751</f>
        <v>0.20659995079040527</v>
      </c>
      <c r="X161" s="3">
        <f t="shared" si="129"/>
        <v>206.59995079040527</v>
      </c>
      <c r="Z161" s="4">
        <f>1628873566.8385-1628873566.62751</f>
        <v>0.21098995208740234</v>
      </c>
      <c r="AA161" s="3">
        <f t="shared" si="130"/>
        <v>210.98995208740234</v>
      </c>
      <c r="AC161" s="4">
        <f>1628873566.84307-1628873566.62751</f>
        <v>0.21555995941162109</v>
      </c>
      <c r="AD161" s="3">
        <f t="shared" si="131"/>
        <v>215.55995941162109</v>
      </c>
      <c r="AF161" s="4">
        <f>1628873566.84771-1628873566.62751</f>
        <v>0.2201998233795166</v>
      </c>
      <c r="AG161" s="3">
        <f t="shared" si="132"/>
        <v>220.1998233795166</v>
      </c>
      <c r="AL161" s="4">
        <f>1628875103.75113-1628875103.5344</f>
        <v>0.21673011779785156</v>
      </c>
      <c r="AM161" s="3">
        <f t="shared" si="133"/>
        <v>216.73011779785156</v>
      </c>
      <c r="AO161" s="4">
        <f>1628875103.75529-1628875103.5344</f>
        <v>0.22089004516601563</v>
      </c>
      <c r="AP161" s="3">
        <f t="shared" si="134"/>
        <v>220.89004516601563</v>
      </c>
      <c r="AR161" s="4">
        <f>1628875103.75937-1628875103.5344</f>
        <v>0.22497010231018066</v>
      </c>
      <c r="AS161" s="3">
        <f t="shared" si="135"/>
        <v>224.97010231018066</v>
      </c>
      <c r="AU161" s="4">
        <f>1628875103.76386-1628875103.5344</f>
        <v>0.22946000099182129</v>
      </c>
      <c r="AV161" s="3">
        <f t="shared" si="136"/>
        <v>229.46000099182129</v>
      </c>
      <c r="AX161" s="4">
        <f>1628875103.76832-1628875103.5344</f>
        <v>0.23392009735107422</v>
      </c>
      <c r="AY161" s="3">
        <f t="shared" si="137"/>
        <v>233.92009735107422</v>
      </c>
    </row>
    <row r="162" spans="2:51" x14ac:dyDescent="0.3">
      <c r="B162" s="4">
        <f>1628869654.11027-1628869654.10327</f>
        <v>6.999969482421875E-3</v>
      </c>
      <c r="C162" s="3">
        <f t="shared" si="123"/>
        <v>6.999969482421875</v>
      </c>
      <c r="E162" s="4">
        <f>1628869654.11034-1628869654.10327</f>
        <v>7.0700645446777344E-3</v>
      </c>
      <c r="F162" s="3">
        <f t="shared" si="124"/>
        <v>7.0700645446777344</v>
      </c>
      <c r="H162" s="4">
        <f>1628869654.11031-1628869654.10327</f>
        <v>7.0400238037109375E-3</v>
      </c>
      <c r="I162" s="3">
        <f t="shared" si="125"/>
        <v>7.0400238037109375</v>
      </c>
      <c r="K162" s="4">
        <f>1628869654.11062-1628869654.10327</f>
        <v>7.3499679565429688E-3</v>
      </c>
      <c r="L162" s="3">
        <f t="shared" si="126"/>
        <v>7.3499679565429688</v>
      </c>
      <c r="N162" s="4">
        <f>1628869654.11036-1628869654.10327</f>
        <v>7.0898532867431641E-3</v>
      </c>
      <c r="O162" s="3">
        <f t="shared" si="127"/>
        <v>7.0898532867431641</v>
      </c>
      <c r="T162" s="4">
        <f>1628873568.09903-1628873567.88822</f>
        <v>0.21080994606018066</v>
      </c>
      <c r="U162" s="3">
        <f t="shared" si="128"/>
        <v>210.80994606018066</v>
      </c>
      <c r="W162" s="4">
        <f>1628873568.10199-1628873567.88822</f>
        <v>0.21376991271972656</v>
      </c>
      <c r="X162" s="3">
        <f t="shared" si="129"/>
        <v>213.76991271972656</v>
      </c>
      <c r="Z162" s="4">
        <f>1628873568.10588-1628873567.88822</f>
        <v>0.21765995025634766</v>
      </c>
      <c r="AA162" s="3">
        <f t="shared" si="130"/>
        <v>217.65995025634766</v>
      </c>
      <c r="AC162" s="4">
        <f>1628873568.1096-1628873567.88822</f>
        <v>0.22137999534606934</v>
      </c>
      <c r="AD162" s="3">
        <f t="shared" si="131"/>
        <v>221.37999534606934</v>
      </c>
      <c r="AF162" s="4">
        <f>1628873568.11366-1628873567.88822</f>
        <v>0.22544002532958984</v>
      </c>
      <c r="AG162" s="3">
        <f t="shared" si="132"/>
        <v>225.44002532958984</v>
      </c>
      <c r="AL162" s="4">
        <f>1628875105.02434-1628875104.81043</f>
        <v>0.21390986442565918</v>
      </c>
      <c r="AM162" s="3">
        <f t="shared" si="133"/>
        <v>213.90986442565918</v>
      </c>
      <c r="AO162" s="4">
        <f>1628875105.02875-1628875104.81043</f>
        <v>0.21831989288330078</v>
      </c>
      <c r="AP162" s="3">
        <f t="shared" si="134"/>
        <v>218.31989288330078</v>
      </c>
      <c r="AR162" s="4">
        <f>1628875105.03225-1628875104.81043</f>
        <v>0.22181987762451172</v>
      </c>
      <c r="AS162" s="3">
        <f t="shared" si="135"/>
        <v>221.81987762451172</v>
      </c>
      <c r="AU162" s="4">
        <f>1628875105.03626-1628875104.81043</f>
        <v>0.2258298397064209</v>
      </c>
      <c r="AV162" s="3">
        <f t="shared" si="136"/>
        <v>225.8298397064209</v>
      </c>
      <c r="AX162" s="4">
        <f>1628875105.03923-1628875104.81043</f>
        <v>0.22880005836486816</v>
      </c>
      <c r="AY162" s="3">
        <f t="shared" si="137"/>
        <v>228.80005836486816</v>
      </c>
    </row>
    <row r="163" spans="2:51" x14ac:dyDescent="0.3">
      <c r="B163" s="4">
        <f>1628869655.11758-1628869655.11052</f>
        <v>7.0600509643554688E-3</v>
      </c>
      <c r="C163" s="3">
        <f t="shared" si="123"/>
        <v>7.0600509643554688</v>
      </c>
      <c r="E163" s="4">
        <f>1628869655.11762-1628869655.11052</f>
        <v>7.1001052856445313E-3</v>
      </c>
      <c r="F163" s="3">
        <f t="shared" si="124"/>
        <v>7.1001052856445313</v>
      </c>
      <c r="H163" s="4">
        <f>1628869655.11825-1628869655.11052</f>
        <v>7.7300071716308594E-3</v>
      </c>
      <c r="I163" s="3">
        <f t="shared" si="125"/>
        <v>7.7300071716308594</v>
      </c>
      <c r="K163" s="4">
        <f>1628869655.11788-1628869655.11052</f>
        <v>7.3602199554443359E-3</v>
      </c>
      <c r="L163" s="3">
        <f t="shared" si="126"/>
        <v>7.3602199554443359</v>
      </c>
      <c r="N163" s="4">
        <f>1628869655.11768-1628869655.11052</f>
        <v>7.160186767578125E-3</v>
      </c>
      <c r="O163" s="3">
        <f t="shared" si="127"/>
        <v>7.160186767578125</v>
      </c>
      <c r="T163" s="4">
        <f>1628873569.35952-1628873569.15379</f>
        <v>0.20572996139526367</v>
      </c>
      <c r="U163" s="3">
        <f t="shared" si="128"/>
        <v>205.72996139526367</v>
      </c>
      <c r="W163" s="4">
        <f>1628873569.36335-1628873569.15379</f>
        <v>0.20955991744995117</v>
      </c>
      <c r="X163" s="3">
        <f t="shared" si="129"/>
        <v>209.55991744995117</v>
      </c>
      <c r="Z163" s="4">
        <f>1628873569.36774-1628873569.15379</f>
        <v>0.21394991874694824</v>
      </c>
      <c r="AA163" s="3">
        <f t="shared" si="130"/>
        <v>213.94991874694824</v>
      </c>
      <c r="AC163" s="4">
        <f>1628873569.37136-1628873569.15379</f>
        <v>0.21757006645202637</v>
      </c>
      <c r="AD163" s="3">
        <f t="shared" si="131"/>
        <v>217.57006645202637</v>
      </c>
      <c r="AF163" s="4">
        <f>1628873569.37562-1628873569.15379</f>
        <v>0.22182989120483398</v>
      </c>
      <c r="AG163" s="3">
        <f t="shared" si="132"/>
        <v>221.82989120483398</v>
      </c>
      <c r="AL163" s="4">
        <f>1628875106.29056-1628875106.07662</f>
        <v>0.21393990516662598</v>
      </c>
      <c r="AM163" s="3">
        <f t="shared" si="133"/>
        <v>213.93990516662598</v>
      </c>
      <c r="AO163" s="4">
        <f>1628875106.29449-1628875106.07662</f>
        <v>0.21786999702453613</v>
      </c>
      <c r="AP163" s="3">
        <f t="shared" si="134"/>
        <v>217.86999702453613</v>
      </c>
      <c r="AR163" s="4">
        <f>1628875106.29716-1628875106.07662</f>
        <v>0.22053980827331543</v>
      </c>
      <c r="AS163" s="3">
        <f t="shared" si="135"/>
        <v>220.53980827331543</v>
      </c>
      <c r="AU163" s="4">
        <f>1628875106.30004-1628875106.07662</f>
        <v>0.2234199047088623</v>
      </c>
      <c r="AV163" s="3">
        <f t="shared" si="136"/>
        <v>223.4199047088623</v>
      </c>
      <c r="AX163" s="4">
        <f>1628875106.3044-1628875106.07662</f>
        <v>0.22777986526489258</v>
      </c>
      <c r="AY163" s="3">
        <f t="shared" si="137"/>
        <v>227.77986526489258</v>
      </c>
    </row>
    <row r="164" spans="2:51" x14ac:dyDescent="0.3">
      <c r="B164" s="4">
        <f>1628869656.12484-1628869656.11783</f>
        <v>7.0099830627441406E-3</v>
      </c>
      <c r="C164" s="3">
        <f t="shared" si="123"/>
        <v>7.0099830627441406</v>
      </c>
      <c r="E164" s="4">
        <f>1628869656.12478-1628869656.11783</f>
        <v>6.9499015808105469E-3</v>
      </c>
      <c r="F164" s="3">
        <f t="shared" si="124"/>
        <v>6.9499015808105469</v>
      </c>
      <c r="H164" s="4">
        <f>1628869656.12483-1628869656.11783</f>
        <v>6.999969482421875E-3</v>
      </c>
      <c r="I164" s="3">
        <f t="shared" si="125"/>
        <v>6.999969482421875</v>
      </c>
      <c r="K164" s="4">
        <f>1628869656.12513-1628869656.11783</f>
        <v>7.2999000549316406E-3</v>
      </c>
      <c r="L164" s="3">
        <f t="shared" si="126"/>
        <v>7.2999000549316406</v>
      </c>
      <c r="N164" s="4">
        <f>1628869656.12488-1628869656.11783</f>
        <v>7.0500373840332031E-3</v>
      </c>
      <c r="O164" s="3">
        <f t="shared" si="127"/>
        <v>7.0500373840332031</v>
      </c>
      <c r="T164" s="4">
        <f>1628873570.63318-1628873570.42245</f>
        <v>0.21072983741760254</v>
      </c>
      <c r="U164" s="3">
        <f t="shared" si="128"/>
        <v>210.72983741760254</v>
      </c>
      <c r="W164" s="4">
        <f>1628873570.63761-1628873570.42245</f>
        <v>0.21515989303588867</v>
      </c>
      <c r="X164" s="3">
        <f t="shared" si="129"/>
        <v>215.15989303588867</v>
      </c>
      <c r="Z164" s="4">
        <f>1628873570.64194-1628873570.42245</f>
        <v>0.21949005126953125</v>
      </c>
      <c r="AA164" s="3">
        <f t="shared" si="130"/>
        <v>219.49005126953125</v>
      </c>
      <c r="AC164" s="4">
        <f>1628873570.64636-1628873570.42245</f>
        <v>0.22390985488891602</v>
      </c>
      <c r="AD164" s="3">
        <f t="shared" si="131"/>
        <v>223.90985488891602</v>
      </c>
      <c r="AF164" s="4">
        <f>1628873570.64993-1628873570.42245</f>
        <v>0.22747993469238281</v>
      </c>
      <c r="AG164" s="3">
        <f t="shared" si="132"/>
        <v>227.47993469238281</v>
      </c>
      <c r="AL164" s="4">
        <f>1628875107.5545-1628875107.34241</f>
        <v>0.21209001541137695</v>
      </c>
      <c r="AM164" s="3">
        <f t="shared" si="133"/>
        <v>212.09001541137695</v>
      </c>
      <c r="AO164" s="4">
        <f>1628875107.55885-1628875107.34241</f>
        <v>0.21643996238708496</v>
      </c>
      <c r="AP164" s="3">
        <f t="shared" si="134"/>
        <v>216.43996238708496</v>
      </c>
      <c r="AR164" s="4">
        <f>1628875107.56324-1628875107.34241</f>
        <v>0.22082996368408203</v>
      </c>
      <c r="AS164" s="3">
        <f t="shared" si="135"/>
        <v>220.82996368408203</v>
      </c>
      <c r="AU164" s="4">
        <f>1628875107.56766-1628875107.34241</f>
        <v>0.2252500057220459</v>
      </c>
      <c r="AV164" s="3">
        <f t="shared" si="136"/>
        <v>225.2500057220459</v>
      </c>
      <c r="AX164" s="4">
        <f>1628875107.57224-1628875107.34241</f>
        <v>0.22983002662658691</v>
      </c>
      <c r="AY164" s="3">
        <f t="shared" si="137"/>
        <v>229.83002662658691</v>
      </c>
    </row>
    <row r="165" spans="2:51" x14ac:dyDescent="0.3">
      <c r="B165" s="4">
        <f>1628869657.13208-1628869657.12504</f>
        <v>7.0400238037109375E-3</v>
      </c>
      <c r="C165" s="3">
        <f t="shared" si="123"/>
        <v>7.0400238037109375</v>
      </c>
      <c r="E165" s="4">
        <f>1628869657.13202-1628869657.12504</f>
        <v>6.9799423217773438E-3</v>
      </c>
      <c r="F165" s="3">
        <f t="shared" si="124"/>
        <v>6.9799423217773438</v>
      </c>
      <c r="H165" s="4">
        <f>1628869657.13215-1628869657.12504</f>
        <v>7.1098804473876953E-3</v>
      </c>
      <c r="I165" s="3">
        <f t="shared" si="125"/>
        <v>7.1098804473876953</v>
      </c>
      <c r="K165" s="4">
        <f>1628869657.1359-1628869657.12504</f>
        <v>1.0859966278076172E-2</v>
      </c>
      <c r="L165" s="3">
        <f t="shared" si="126"/>
        <v>10.859966278076172</v>
      </c>
      <c r="N165" s="4">
        <f>1628869657.13214-1628869657.12504</f>
        <v>7.0998668670654297E-3</v>
      </c>
      <c r="O165" s="3">
        <f t="shared" si="127"/>
        <v>7.0998668670654297</v>
      </c>
      <c r="T165" s="4">
        <f>1628873571.90045-1628873571.69399</f>
        <v>0.20645999908447266</v>
      </c>
      <c r="U165" s="3">
        <f t="shared" si="128"/>
        <v>206.45999908447266</v>
      </c>
      <c r="W165" s="4">
        <f>1628873571.90442-1628873571.69399</f>
        <v>0.21042990684509277</v>
      </c>
      <c r="X165" s="3">
        <f t="shared" si="129"/>
        <v>210.42990684509277</v>
      </c>
      <c r="Z165" s="4">
        <f>1628873571.90851-1628873571.69399</f>
        <v>0.21451997756958008</v>
      </c>
      <c r="AA165" s="3">
        <f t="shared" si="130"/>
        <v>214.51997756958008</v>
      </c>
      <c r="AC165" s="4">
        <f>1628873571.91271-1628873571.69399</f>
        <v>0.2187199592590332</v>
      </c>
      <c r="AD165" s="3">
        <f t="shared" si="131"/>
        <v>218.7199592590332</v>
      </c>
      <c r="AF165" s="4">
        <f>1628873571.91725-1628873571.69399</f>
        <v>0.22325992584228516</v>
      </c>
      <c r="AG165" s="3">
        <f t="shared" si="132"/>
        <v>223.25992584228516</v>
      </c>
      <c r="AL165" s="4">
        <f>1628875108.82255-1628875108.6092</f>
        <v>0.21335005760192871</v>
      </c>
      <c r="AM165" s="3">
        <f t="shared" si="133"/>
        <v>213.35005760192871</v>
      </c>
      <c r="AO165" s="4">
        <f>1628875108.82699-1628875108.6092</f>
        <v>0.21778988838195801</v>
      </c>
      <c r="AP165" s="3">
        <f t="shared" si="134"/>
        <v>217.78988838195801</v>
      </c>
      <c r="AR165" s="4">
        <f>1628875108.83087-1628875108.6092</f>
        <v>0.22166991233825684</v>
      </c>
      <c r="AS165" s="3">
        <f t="shared" si="135"/>
        <v>221.66991233825684</v>
      </c>
      <c r="AU165" s="4">
        <f>1628875108.83575-1628875108.6092</f>
        <v>0.22655010223388672</v>
      </c>
      <c r="AV165" s="3">
        <f t="shared" si="136"/>
        <v>226.55010223388672</v>
      </c>
      <c r="AX165" s="4">
        <f>1628875108.84034-1628875108.6092</f>
        <v>0.2311398983001709</v>
      </c>
      <c r="AY165" s="3">
        <f t="shared" si="137"/>
        <v>231.1398983001709</v>
      </c>
    </row>
    <row r="166" spans="2:51" x14ac:dyDescent="0.3">
      <c r="C166" s="2">
        <f>AVERAGE(C156:C165)</f>
        <v>6.9550275802612305</v>
      </c>
      <c r="F166" s="2">
        <f>AVERAGE(F156:F165)</f>
        <v>6.9390296936035156</v>
      </c>
      <c r="I166" s="2">
        <f>AVERAGE(I156:I165)</f>
        <v>7.3559999465942383</v>
      </c>
      <c r="L166" s="2">
        <f>AVERAGE(L156:L165)</f>
        <v>7.6680421829223633</v>
      </c>
      <c r="O166" s="2">
        <f>AVERAGE(O156:O165)</f>
        <v>7.0650100708007813</v>
      </c>
      <c r="U166" s="2">
        <f>AVERAGE(U156:U165)</f>
        <v>204.30896282196045</v>
      </c>
      <c r="X166" s="2">
        <f>AVERAGE(X156:X165)</f>
        <v>207.9979419708252</v>
      </c>
      <c r="AA166" s="2">
        <f>AVERAGE(AA156:AA165)</f>
        <v>212.01498508453369</v>
      </c>
      <c r="AD166" s="2">
        <f>AVERAGE(AD156:AD165)</f>
        <v>216.11499786376953</v>
      </c>
      <c r="AG166" s="2">
        <f>AVERAGE(AG156:AG165)</f>
        <v>220.21694183349609</v>
      </c>
      <c r="AM166" s="2">
        <f>AVERAGE(AM156:AM165)</f>
        <v>212.60697841644287</v>
      </c>
      <c r="AP166" s="2">
        <f>AVERAGE(AP156:AP165)</f>
        <v>216.67895317077637</v>
      </c>
      <c r="AS166" s="2">
        <f>AVERAGE(AS156:AS165)</f>
        <v>220.52698135375977</v>
      </c>
      <c r="AV166" s="2">
        <f>AVERAGE(AV156:AV165)</f>
        <v>224.63498115539551</v>
      </c>
      <c r="AY166" s="2">
        <f>AVERAGE(AY156:AY165)</f>
        <v>228.66001129150391</v>
      </c>
    </row>
    <row r="168" spans="2:51" x14ac:dyDescent="0.3">
      <c r="B168" s="6" t="s">
        <v>37</v>
      </c>
      <c r="C168" s="6"/>
      <c r="E168" s="6" t="s">
        <v>38</v>
      </c>
      <c r="F168" s="6"/>
      <c r="H168" s="6" t="s">
        <v>39</v>
      </c>
      <c r="I168" s="6"/>
      <c r="K168" s="6" t="s">
        <v>40</v>
      </c>
      <c r="L168" s="6"/>
      <c r="N168" s="6" t="s">
        <v>41</v>
      </c>
      <c r="O168" s="6"/>
      <c r="T168" s="6" t="s">
        <v>37</v>
      </c>
      <c r="U168" s="6"/>
      <c r="W168" s="6" t="s">
        <v>38</v>
      </c>
      <c r="X168" s="6"/>
      <c r="Z168" s="6" t="s">
        <v>39</v>
      </c>
      <c r="AA168" s="6"/>
      <c r="AC168" s="6" t="s">
        <v>40</v>
      </c>
      <c r="AD168" s="6"/>
      <c r="AF168" s="6" t="s">
        <v>41</v>
      </c>
      <c r="AG168" s="6"/>
      <c r="AL168" s="6" t="s">
        <v>37</v>
      </c>
      <c r="AM168" s="6"/>
      <c r="AO168" s="6" t="s">
        <v>38</v>
      </c>
      <c r="AP168" s="6"/>
      <c r="AR168" s="6" t="s">
        <v>39</v>
      </c>
      <c r="AS168" s="6"/>
      <c r="AU168" s="6" t="s">
        <v>40</v>
      </c>
      <c r="AV168" s="6"/>
      <c r="AX168" s="6" t="s">
        <v>41</v>
      </c>
      <c r="AY168" s="6"/>
    </row>
    <row r="169" spans="2:51" ht="31.8" customHeight="1" x14ac:dyDescent="0.3">
      <c r="B169" s="8" t="s">
        <v>2</v>
      </c>
      <c r="C169" s="8"/>
      <c r="E169" s="8" t="s">
        <v>2</v>
      </c>
      <c r="F169" s="8"/>
      <c r="H169" s="8" t="s">
        <v>2</v>
      </c>
      <c r="I169" s="8"/>
      <c r="K169" s="8" t="s">
        <v>2</v>
      </c>
      <c r="L169" s="8"/>
      <c r="N169" s="8" t="s">
        <v>2</v>
      </c>
      <c r="O169" s="8"/>
      <c r="T169" s="8" t="s">
        <v>62</v>
      </c>
      <c r="U169" s="8"/>
      <c r="W169" s="8" t="s">
        <v>62</v>
      </c>
      <c r="X169" s="8"/>
      <c r="Z169" s="8" t="s">
        <v>62</v>
      </c>
      <c r="AA169" s="8"/>
      <c r="AC169" s="8" t="s">
        <v>62</v>
      </c>
      <c r="AD169" s="8"/>
      <c r="AF169" s="8" t="s">
        <v>62</v>
      </c>
      <c r="AG169" s="8"/>
      <c r="AL169" s="8" t="s">
        <v>63</v>
      </c>
      <c r="AM169" s="8"/>
      <c r="AO169" s="8" t="s">
        <v>63</v>
      </c>
      <c r="AP169" s="8"/>
      <c r="AR169" s="8" t="s">
        <v>63</v>
      </c>
      <c r="AS169" s="8"/>
      <c r="AU169" s="8" t="s">
        <v>63</v>
      </c>
      <c r="AV169" s="8"/>
      <c r="AX169" s="8" t="s">
        <v>63</v>
      </c>
      <c r="AY169" s="8"/>
    </row>
    <row r="170" spans="2:51" x14ac:dyDescent="0.3">
      <c r="B170" s="1" t="s">
        <v>1</v>
      </c>
      <c r="C170" s="1" t="s">
        <v>0</v>
      </c>
      <c r="E170" s="1" t="s">
        <v>1</v>
      </c>
      <c r="F170" s="1" t="s">
        <v>0</v>
      </c>
      <c r="H170" s="1" t="s">
        <v>1</v>
      </c>
      <c r="I170" s="1" t="s">
        <v>0</v>
      </c>
      <c r="K170" s="1" t="s">
        <v>1</v>
      </c>
      <c r="L170" s="1" t="s">
        <v>0</v>
      </c>
      <c r="N170" s="1" t="s">
        <v>1</v>
      </c>
      <c r="O170" s="1" t="s">
        <v>0</v>
      </c>
      <c r="T170" s="1" t="s">
        <v>1</v>
      </c>
      <c r="U170" s="1" t="s">
        <v>0</v>
      </c>
      <c r="W170" s="1" t="s">
        <v>1</v>
      </c>
      <c r="X170" s="1" t="s">
        <v>0</v>
      </c>
      <c r="Z170" s="1" t="s">
        <v>1</v>
      </c>
      <c r="AA170" s="1" t="s">
        <v>0</v>
      </c>
      <c r="AC170" s="1" t="s">
        <v>1</v>
      </c>
      <c r="AD170" s="1" t="s">
        <v>0</v>
      </c>
      <c r="AF170" s="1" t="s">
        <v>1</v>
      </c>
      <c r="AG170" s="1" t="s">
        <v>0</v>
      </c>
      <c r="AL170" s="1" t="s">
        <v>1</v>
      </c>
      <c r="AM170" s="1" t="s">
        <v>0</v>
      </c>
      <c r="AO170" s="1" t="s">
        <v>1</v>
      </c>
      <c r="AP170" s="1" t="s">
        <v>0</v>
      </c>
      <c r="AR170" s="1" t="s">
        <v>1</v>
      </c>
      <c r="AS170" s="1" t="s">
        <v>0</v>
      </c>
      <c r="AU170" s="1" t="s">
        <v>1</v>
      </c>
      <c r="AV170" s="1" t="s">
        <v>0</v>
      </c>
      <c r="AX170" s="1" t="s">
        <v>1</v>
      </c>
      <c r="AY170" s="1" t="s">
        <v>0</v>
      </c>
    </row>
    <row r="171" spans="2:51" x14ac:dyDescent="0.3">
      <c r="B171" s="4">
        <f>1628869648.06635-1628869648.06002</f>
        <v>6.3300132751464844E-3</v>
      </c>
      <c r="C171" s="3">
        <f>B171*1000</f>
        <v>6.3300132751464844</v>
      </c>
      <c r="E171" s="4">
        <f>1628869648.0668-1628869648.06002</f>
        <v>6.7801475524902344E-3</v>
      </c>
      <c r="F171" s="3">
        <f>E171*1000</f>
        <v>6.7801475524902344</v>
      </c>
      <c r="H171" s="4">
        <f>1628869648.06751-1628869648.06002</f>
        <v>7.4899196624755859E-3</v>
      </c>
      <c r="I171" s="3">
        <f>H171*1000</f>
        <v>7.4899196624755859</v>
      </c>
      <c r="K171" s="4">
        <f>1628869648.06648-1628869648.06002</f>
        <v>6.4599514007568359E-3</v>
      </c>
      <c r="L171" s="3">
        <f>K171*1000</f>
        <v>6.4599514007568359</v>
      </c>
      <c r="N171" s="4">
        <f>1628869648.06722-1628869648.06002</f>
        <v>7.2000026702880859E-3</v>
      </c>
      <c r="O171" s="3">
        <f>N171*1000</f>
        <v>7.2000026702880859</v>
      </c>
      <c r="T171" s="4">
        <f>1628873560.56123-1628873560.32879</f>
        <v>0.23243999481201172</v>
      </c>
      <c r="U171" s="3">
        <f>T171*1000</f>
        <v>232.43999481201172</v>
      </c>
      <c r="W171" s="4">
        <f>1628873560.56456-1628873560.32879</f>
        <v>0.23576998710632324</v>
      </c>
      <c r="X171" s="3">
        <f>W171*1000</f>
        <v>235.76998710632324</v>
      </c>
      <c r="Z171" s="4">
        <f>1628873560.56787-1628873560.32879</f>
        <v>0.23907995223999023</v>
      </c>
      <c r="AA171" s="3">
        <f>Z171*1000</f>
        <v>239.07995223999023</v>
      </c>
      <c r="AC171" s="4">
        <f>1628873560.57241-1628873560.32879</f>
        <v>0.24362015724182129</v>
      </c>
      <c r="AD171" s="3">
        <f>AC171*1000</f>
        <v>243.62015724182129</v>
      </c>
      <c r="AF171" s="4">
        <f>1628873560.57676-1628873560.32879</f>
        <v>0.2479701042175293</v>
      </c>
      <c r="AG171" s="3">
        <f>AF171*1000</f>
        <v>247.9701042175293</v>
      </c>
      <c r="AL171" s="4">
        <f>1628875097.4329-1628875097.20454</f>
        <v>0.22835993766784668</v>
      </c>
      <c r="AM171" s="3">
        <f>AL171*1000</f>
        <v>228.35993766784668</v>
      </c>
      <c r="AO171" s="4">
        <f>1628875097.43593-1628875097.20454</f>
        <v>0.23138999938964844</v>
      </c>
      <c r="AP171" s="3">
        <f>AO171*1000</f>
        <v>231.38999938964844</v>
      </c>
      <c r="AR171" s="4">
        <f>1628875097.43903-1628875097.20454</f>
        <v>0.23448991775512695</v>
      </c>
      <c r="AS171" s="3">
        <f>AR171*1000</f>
        <v>234.48991775512695</v>
      </c>
      <c r="AU171" s="4">
        <f>1628875097.44249-1628875097.20454</f>
        <v>0.23795008659362793</v>
      </c>
      <c r="AV171" s="3">
        <f>AU171*1000</f>
        <v>237.95008659362793</v>
      </c>
      <c r="AX171" s="4">
        <f>1628875097.44682-1628875097.20454</f>
        <v>0.24228000640869141</v>
      </c>
      <c r="AY171" s="3">
        <f>AX171*1000</f>
        <v>242.28000640869141</v>
      </c>
    </row>
    <row r="172" spans="2:51" x14ac:dyDescent="0.3">
      <c r="B172" s="4">
        <f>1628869649.07369-1628869649.06764</f>
        <v>6.0498714447021484E-3</v>
      </c>
      <c r="C172" s="3">
        <f t="shared" ref="C172:C180" si="138">B172*1000</f>
        <v>6.0498714447021484</v>
      </c>
      <c r="E172" s="4">
        <f>1628869649.07505-1628869649.06764</f>
        <v>7.4100494384765625E-3</v>
      </c>
      <c r="F172" s="3">
        <f t="shared" ref="F172:F180" si="139">E172*1000</f>
        <v>7.4100494384765625</v>
      </c>
      <c r="H172" s="4">
        <f>1628869649.07452-1628869649.06764</f>
        <v>6.8800449371337891E-3</v>
      </c>
      <c r="I172" s="3">
        <f t="shared" ref="I172:I180" si="140">H172*1000</f>
        <v>6.8800449371337891</v>
      </c>
      <c r="K172" s="4">
        <f>1628869649.07405-1628869649.06764</f>
        <v>6.4098834991455078E-3</v>
      </c>
      <c r="L172" s="3">
        <f t="shared" ref="L172:L180" si="141">K172*1000</f>
        <v>6.4098834991455078</v>
      </c>
      <c r="N172" s="4">
        <f>1628869649.0741-1628869649.06764</f>
        <v>6.4599514007568359E-3</v>
      </c>
      <c r="O172" s="3">
        <f t="shared" ref="O172:O180" si="142">N172*1000</f>
        <v>6.4599514007568359</v>
      </c>
      <c r="T172" s="4">
        <f>1628873561.8325-1628873561.59871</f>
        <v>0.23378992080688477</v>
      </c>
      <c r="U172" s="3">
        <f t="shared" ref="U172:U180" si="143">T172*1000</f>
        <v>233.78992080688477</v>
      </c>
      <c r="W172" s="4">
        <f>1628873561.83627-1628873561.59871</f>
        <v>0.23756003379821777</v>
      </c>
      <c r="X172" s="3">
        <f t="shared" ref="X172:X180" si="144">W172*1000</f>
        <v>237.56003379821777</v>
      </c>
      <c r="Z172" s="4">
        <f>1628873561.84042-1628873561.59871</f>
        <v>0.24170994758605957</v>
      </c>
      <c r="AA172" s="3">
        <f t="shared" ref="AA172:AA180" si="145">Z172*1000</f>
        <v>241.70994758605957</v>
      </c>
      <c r="AC172" s="4">
        <f>1628873561.84528-1628873561.59871</f>
        <v>0.24656987190246582</v>
      </c>
      <c r="AD172" s="3">
        <f t="shared" ref="AD172:AD180" si="146">AC172*1000</f>
        <v>246.56987190246582</v>
      </c>
      <c r="AF172" s="4">
        <f>1628873561.84919-1628873561.59871</f>
        <v>0.25047993659973145</v>
      </c>
      <c r="AG172" s="3">
        <f t="shared" ref="AG172:AG180" si="147">AF172*1000</f>
        <v>250.47993659973145</v>
      </c>
      <c r="AL172" s="4">
        <f>1628875098.69688-1628875098.46874</f>
        <v>0.22814011573791504</v>
      </c>
      <c r="AM172" s="3">
        <f t="shared" ref="AM172:AM180" si="148">AL172*1000</f>
        <v>228.14011573791504</v>
      </c>
      <c r="AO172" s="4">
        <f>1628875098.701-1628875098.46874</f>
        <v>0.23225998878479004</v>
      </c>
      <c r="AP172" s="3">
        <f t="shared" ref="AP172:AP180" si="149">AO172*1000</f>
        <v>232.25998878479004</v>
      </c>
      <c r="AR172" s="4">
        <f>1628875098.70522-1628875098.46874</f>
        <v>0.2364799976348877</v>
      </c>
      <c r="AS172" s="3">
        <f t="shared" ref="AS172:AS180" si="150">AR172*1000</f>
        <v>236.4799976348877</v>
      </c>
      <c r="AU172" s="4">
        <f>1628875098.70908-1628875098.46874</f>
        <v>0.24033999443054199</v>
      </c>
      <c r="AV172" s="3">
        <f t="shared" ref="AV172:AV180" si="151">AU172*1000</f>
        <v>240.33999443054199</v>
      </c>
      <c r="AX172" s="4">
        <f>1628875098.71407-1628875098.46874</f>
        <v>0.2453300952911377</v>
      </c>
      <c r="AY172" s="3">
        <f t="shared" ref="AY172:AY180" si="152">AX172*1000</f>
        <v>245.3300952911377</v>
      </c>
    </row>
    <row r="173" spans="2:51" x14ac:dyDescent="0.3">
      <c r="B173" s="4">
        <f>1628869650.0813-1628869650.07508</f>
        <v>6.2201023101806641E-3</v>
      </c>
      <c r="C173" s="3">
        <f t="shared" si="138"/>
        <v>6.2201023101806641</v>
      </c>
      <c r="E173" s="4">
        <f>1628869650.08267-1628869650.07508</f>
        <v>7.5900554656982422E-3</v>
      </c>
      <c r="F173" s="3">
        <f t="shared" si="139"/>
        <v>7.5900554656982422</v>
      </c>
      <c r="H173" s="4">
        <f>1628869650.08218-1628869650.07508</f>
        <v>7.1001052856445313E-3</v>
      </c>
      <c r="I173" s="3">
        <f t="shared" si="140"/>
        <v>7.1001052856445313</v>
      </c>
      <c r="K173" s="4">
        <f>1628869650.08159-1628869650.07508</f>
        <v>6.5100193023681641E-3</v>
      </c>
      <c r="L173" s="3">
        <f t="shared" si="141"/>
        <v>6.5100193023681641</v>
      </c>
      <c r="N173" s="4">
        <f>1628869650.08179-1628869650.07508</f>
        <v>6.710052490234375E-3</v>
      </c>
      <c r="O173" s="3">
        <f t="shared" si="142"/>
        <v>6.710052490234375</v>
      </c>
      <c r="T173" s="4">
        <f>1628873563.04522-1628873562.87167</f>
        <v>0.17354989051818848</v>
      </c>
      <c r="U173" s="3">
        <f t="shared" si="143"/>
        <v>173.54989051818848</v>
      </c>
      <c r="W173" s="4">
        <f>1628873563.04779-1628873562.87167</f>
        <v>0.17612004280090332</v>
      </c>
      <c r="X173" s="3">
        <f t="shared" si="144"/>
        <v>176.12004280090332</v>
      </c>
      <c r="Z173" s="4">
        <f>1628873563.05107-1628873562.87167</f>
        <v>0.17939996719360352</v>
      </c>
      <c r="AA173" s="3">
        <f t="shared" si="145"/>
        <v>179.39996719360352</v>
      </c>
      <c r="AC173" s="4">
        <f>1628873563.05476-1628873562.87167</f>
        <v>0.1830899715423584</v>
      </c>
      <c r="AD173" s="3">
        <f t="shared" si="146"/>
        <v>183.0899715423584</v>
      </c>
      <c r="AF173" s="4">
        <f>1628873563.05729-1628873562.87167</f>
        <v>0.18562006950378418</v>
      </c>
      <c r="AG173" s="3">
        <f t="shared" si="147"/>
        <v>185.62006950378418</v>
      </c>
      <c r="AL173" s="4">
        <f>1628875099.96714-1628875099.73556</f>
        <v>0.23158001899719238</v>
      </c>
      <c r="AM173" s="3">
        <f t="shared" si="148"/>
        <v>231.58001899719238</v>
      </c>
      <c r="AO173" s="4">
        <f>1628875099.9702-1628875099.73556</f>
        <v>0.23464012145996094</v>
      </c>
      <c r="AP173" s="3">
        <f t="shared" si="149"/>
        <v>234.64012145996094</v>
      </c>
      <c r="AR173" s="4">
        <f>1628875099.97372-1628875099.73556</f>
        <v>0.23816013336181641</v>
      </c>
      <c r="AS173" s="3">
        <f t="shared" si="150"/>
        <v>238.16013336181641</v>
      </c>
      <c r="AU173" s="4">
        <f>1628875099.97797-1628875099.73556</f>
        <v>0.24240994453430176</v>
      </c>
      <c r="AV173" s="3">
        <f t="shared" si="151"/>
        <v>242.40994453430176</v>
      </c>
      <c r="AX173" s="4">
        <f>1628875099.98127-1628875099.73556</f>
        <v>0.24571013450622559</v>
      </c>
      <c r="AY173" s="3">
        <f t="shared" si="152"/>
        <v>245.71013450622559</v>
      </c>
    </row>
    <row r="174" spans="2:51" x14ac:dyDescent="0.3">
      <c r="B174" s="4">
        <f>1628869651.08852-1628869651.0824</f>
        <v>6.1199665069580078E-3</v>
      </c>
      <c r="C174" s="3">
        <f t="shared" si="138"/>
        <v>6.1199665069580078</v>
      </c>
      <c r="E174" s="4">
        <f>1628869651.08916-1628869651.0824</f>
        <v>6.7598819732666016E-3</v>
      </c>
      <c r="F174" s="3">
        <f t="shared" si="139"/>
        <v>6.7598819732666016</v>
      </c>
      <c r="H174" s="4">
        <f>1628869651.08963-1628869651.0824</f>
        <v>7.2298049926757813E-3</v>
      </c>
      <c r="I174" s="3">
        <f t="shared" si="140"/>
        <v>7.2298049926757813</v>
      </c>
      <c r="K174" s="4">
        <f>1628869651.08867-1628869651.0824</f>
        <v>6.2699317932128906E-3</v>
      </c>
      <c r="L174" s="3">
        <f t="shared" si="141"/>
        <v>6.2699317932128906</v>
      </c>
      <c r="N174" s="4">
        <f>1628869651.08889-1628869651.0824</f>
        <v>6.4899921417236328E-3</v>
      </c>
      <c r="O174" s="3">
        <f t="shared" si="142"/>
        <v>6.4899921417236328</v>
      </c>
      <c r="T174" s="4">
        <f>1628873564.31202-1628873564.07584</f>
        <v>0.23618006706237793</v>
      </c>
      <c r="U174" s="3">
        <f t="shared" si="143"/>
        <v>236.18006706237793</v>
      </c>
      <c r="W174" s="4">
        <f>1628873564.31605-1628873564.07584</f>
        <v>0.24021005630493164</v>
      </c>
      <c r="X174" s="3">
        <f t="shared" si="144"/>
        <v>240.21005630493164</v>
      </c>
      <c r="Z174" s="4">
        <f>1628873564.32054-1628873564.07584</f>
        <v>0.24469995498657227</v>
      </c>
      <c r="AA174" s="3">
        <f t="shared" si="145"/>
        <v>244.69995498657227</v>
      </c>
      <c r="AC174" s="4">
        <f>1628873564.32527-1628873564.07584</f>
        <v>0.24942994117736816</v>
      </c>
      <c r="AD174" s="3">
        <f t="shared" si="146"/>
        <v>249.42994117736816</v>
      </c>
      <c r="AF174" s="4">
        <f>1628873564.32956-1628873564.07584</f>
        <v>0.25372004508972168</v>
      </c>
      <c r="AG174" s="3">
        <f t="shared" si="147"/>
        <v>253.72004508972168</v>
      </c>
      <c r="AL174" s="4">
        <f>1628875101.22974-1628875101.00213</f>
        <v>0.22760987281799316</v>
      </c>
      <c r="AM174" s="3">
        <f t="shared" si="148"/>
        <v>227.60987281799316</v>
      </c>
      <c r="AO174" s="4">
        <f>1628875101.23354-1628875101.00213</f>
        <v>0.23141002655029297</v>
      </c>
      <c r="AP174" s="3">
        <f t="shared" si="149"/>
        <v>231.41002655029297</v>
      </c>
      <c r="AR174" s="4">
        <f>1628875101.23749-1628875101.00213</f>
        <v>0.23535990715026855</v>
      </c>
      <c r="AS174" s="3">
        <f t="shared" si="150"/>
        <v>235.35990715026855</v>
      </c>
      <c r="AU174" s="4">
        <f>1628875101.24178-1628875101.00213</f>
        <v>0.23965001106262207</v>
      </c>
      <c r="AV174" s="3">
        <f t="shared" si="151"/>
        <v>239.65001106262207</v>
      </c>
      <c r="AX174" s="4">
        <f>1628875101.24599-1628875101.00213</f>
        <v>0.24386000633239746</v>
      </c>
      <c r="AY174" s="3">
        <f t="shared" si="152"/>
        <v>243.86000633239746</v>
      </c>
    </row>
    <row r="175" spans="2:51" x14ac:dyDescent="0.3">
      <c r="B175" s="4">
        <f>1628869652.0957-1628869652.08963</f>
        <v>6.0701370239257813E-3</v>
      </c>
      <c r="C175" s="3">
        <f t="shared" si="138"/>
        <v>6.0701370239257813</v>
      </c>
      <c r="E175" s="4">
        <f>1628869652.09653-1628869652.08963</f>
        <v>6.9000720977783203E-3</v>
      </c>
      <c r="F175" s="3">
        <f t="shared" si="139"/>
        <v>6.9000720977783203</v>
      </c>
      <c r="H175" s="4">
        <f>1628869652.09644-1628869652.08963</f>
        <v>6.8101882934570313E-3</v>
      </c>
      <c r="I175" s="3">
        <f t="shared" si="140"/>
        <v>6.8101882934570313</v>
      </c>
      <c r="K175" s="4">
        <f>1628869652.09581-1628869652.08963</f>
        <v>6.1800479888916016E-3</v>
      </c>
      <c r="L175" s="3">
        <f t="shared" si="141"/>
        <v>6.1800479888916016</v>
      </c>
      <c r="N175" s="4">
        <f>1628869652.0961-1628869652.08963</f>
        <v>6.4702033996582031E-3</v>
      </c>
      <c r="O175" s="3">
        <f t="shared" si="142"/>
        <v>6.4702033996582031</v>
      </c>
      <c r="T175" s="4">
        <f>1628873565.58669-1628873565.35344</f>
        <v>0.23324990272521973</v>
      </c>
      <c r="U175" s="3">
        <f t="shared" si="143"/>
        <v>233.24990272521973</v>
      </c>
      <c r="W175" s="4">
        <f>1628873565.5905-1628873565.35344</f>
        <v>0.2370600700378418</v>
      </c>
      <c r="X175" s="3">
        <f t="shared" si="144"/>
        <v>237.0600700378418</v>
      </c>
      <c r="Z175" s="4">
        <f>1628873565.59424-1628873565.35344</f>
        <v>0.24079990386962891</v>
      </c>
      <c r="AA175" s="3">
        <f t="shared" si="145"/>
        <v>240.79990386962891</v>
      </c>
      <c r="AC175" s="4">
        <f>1628873565.59859-1628873565.35344</f>
        <v>0.24514985084533691</v>
      </c>
      <c r="AD175" s="3">
        <f t="shared" si="146"/>
        <v>245.14985084533691</v>
      </c>
      <c r="AF175" s="4">
        <f>1628873565.6028-1628873565.35344</f>
        <v>0.2493598461151123</v>
      </c>
      <c r="AG175" s="3">
        <f t="shared" si="147"/>
        <v>249.3598461151123</v>
      </c>
      <c r="AL175" s="4">
        <f>1628875102.49957-1628875102.26671</f>
        <v>0.23285984992980957</v>
      </c>
      <c r="AM175" s="3">
        <f t="shared" si="148"/>
        <v>232.85984992980957</v>
      </c>
      <c r="AO175" s="4">
        <f>1628875102.5044-1628875102.26671</f>
        <v>0.23768997192382813</v>
      </c>
      <c r="AP175" s="3">
        <f t="shared" si="149"/>
        <v>237.68997192382813</v>
      </c>
      <c r="AR175" s="4">
        <f>1628875102.5071-1628875102.26671</f>
        <v>0.24039006233215332</v>
      </c>
      <c r="AS175" s="3">
        <f t="shared" si="150"/>
        <v>240.39006233215332</v>
      </c>
      <c r="AU175" s="4">
        <f>1628875102.51034-1628875102.26671</f>
        <v>0.24362993240356445</v>
      </c>
      <c r="AV175" s="3">
        <f t="shared" si="151"/>
        <v>243.62993240356445</v>
      </c>
      <c r="AX175" s="4">
        <f>1628875102.51488-1628875102.26671</f>
        <v>0.24816989898681641</v>
      </c>
      <c r="AY175" s="3">
        <f t="shared" si="152"/>
        <v>248.16989898681641</v>
      </c>
    </row>
    <row r="176" spans="2:51" x14ac:dyDescent="0.3">
      <c r="B176" s="4">
        <f>1628869653.10229-1628869653.09703</f>
        <v>5.2599906921386719E-3</v>
      </c>
      <c r="C176" s="3">
        <f t="shared" si="138"/>
        <v>5.2599906921386719</v>
      </c>
      <c r="E176" s="4">
        <f>1628869653.10373-1628869653.09703</f>
        <v>6.7000389099121094E-3</v>
      </c>
      <c r="F176" s="3">
        <f t="shared" si="139"/>
        <v>6.7000389099121094</v>
      </c>
      <c r="H176" s="4">
        <f>1628869653.10339-1628869653.09703</f>
        <v>6.3600540161132813E-3</v>
      </c>
      <c r="I176" s="3">
        <f t="shared" si="140"/>
        <v>6.3600540161132813</v>
      </c>
      <c r="K176" s="4">
        <f>1628869653.10238-1628869653.09703</f>
        <v>5.3501129150390625E-3</v>
      </c>
      <c r="L176" s="3">
        <f t="shared" si="141"/>
        <v>5.3501129150390625</v>
      </c>
      <c r="N176" s="4">
        <f>1628869653.10271-1628869653.09703</f>
        <v>5.680084228515625E-3</v>
      </c>
      <c r="O176" s="3">
        <f t="shared" si="142"/>
        <v>5.680084228515625</v>
      </c>
      <c r="T176" s="4">
        <f>1628873566.85244-1628873566.62751</f>
        <v>0.2249300479888916</v>
      </c>
      <c r="U176" s="3">
        <f t="shared" si="143"/>
        <v>224.9300479888916</v>
      </c>
      <c r="W176" s="4">
        <f>1628873566.85671-1628873566.62751</f>
        <v>0.22919988632202148</v>
      </c>
      <c r="X176" s="3">
        <f t="shared" si="144"/>
        <v>229.19988632202148</v>
      </c>
      <c r="Z176" s="4">
        <f>1628873566.86111-1628873566.62751</f>
        <v>0.23359990119934082</v>
      </c>
      <c r="AA176" s="3">
        <f t="shared" si="145"/>
        <v>233.59990119934082</v>
      </c>
      <c r="AC176" s="4">
        <f>1628873566.86498-1628873566.62751</f>
        <v>0.23746991157531738</v>
      </c>
      <c r="AD176" s="3">
        <f t="shared" si="146"/>
        <v>237.46991157531738</v>
      </c>
      <c r="AF176" s="4">
        <f>1628873566.86902-1628873566.62751</f>
        <v>0.24150991439819336</v>
      </c>
      <c r="AG176" s="3">
        <f t="shared" si="147"/>
        <v>241.50991439819336</v>
      </c>
      <c r="AL176" s="4">
        <f>1628875103.7714-1628875103.5344</f>
        <v>0.2369999885559082</v>
      </c>
      <c r="AM176" s="3">
        <f t="shared" si="148"/>
        <v>236.9999885559082</v>
      </c>
      <c r="AO176" s="4">
        <f>1628875103.77582-1628875103.5344</f>
        <v>0.24142003059387207</v>
      </c>
      <c r="AP176" s="3">
        <f t="shared" si="149"/>
        <v>241.42003059387207</v>
      </c>
      <c r="AR176" s="4">
        <f>1628875103.78002-1628875103.5344</f>
        <v>0.2456200122833252</v>
      </c>
      <c r="AS176" s="3">
        <f t="shared" si="150"/>
        <v>245.6200122833252</v>
      </c>
      <c r="AU176" s="4">
        <f>1628875103.78487-1628875103.5344</f>
        <v>0.25046992301940918</v>
      </c>
      <c r="AV176" s="3">
        <f t="shared" si="151"/>
        <v>250.46992301940918</v>
      </c>
      <c r="AX176" s="4">
        <f>1628875103.78943-1628875103.5344</f>
        <v>0.25502991676330566</v>
      </c>
      <c r="AY176" s="3">
        <f t="shared" si="152"/>
        <v>255.02991676330566</v>
      </c>
    </row>
    <row r="177" spans="2:51" x14ac:dyDescent="0.3">
      <c r="B177" s="4">
        <f>1628869654.10938-1628869654.10327</f>
        <v>6.1099529266357422E-3</v>
      </c>
      <c r="C177" s="3">
        <f t="shared" si="138"/>
        <v>6.1099529266357422</v>
      </c>
      <c r="E177" s="4">
        <f>1628869654.10987-1628869654.10327</f>
        <v>6.5999031066894531E-3</v>
      </c>
      <c r="F177" s="3">
        <f t="shared" si="139"/>
        <v>6.5999031066894531</v>
      </c>
      <c r="H177" s="4">
        <f>1628869654.1098-1628869654.10327</f>
        <v>6.5300464630126953E-3</v>
      </c>
      <c r="I177" s="3">
        <f t="shared" si="140"/>
        <v>6.5300464630126953</v>
      </c>
      <c r="K177" s="4">
        <f>1628869654.1095-1628869654.10327</f>
        <v>6.2298774719238281E-3</v>
      </c>
      <c r="L177" s="3">
        <f t="shared" si="141"/>
        <v>6.2298774719238281</v>
      </c>
      <c r="N177" s="4">
        <f>1628869654.1099-1628869654.10327</f>
        <v>6.62994384765625E-3</v>
      </c>
      <c r="O177" s="3">
        <f t="shared" si="142"/>
        <v>6.62994384765625</v>
      </c>
      <c r="T177" s="4">
        <f>1628873568.11887-1628873567.88822</f>
        <v>0.23064994812011719</v>
      </c>
      <c r="U177" s="3">
        <f t="shared" si="143"/>
        <v>230.64994812011719</v>
      </c>
      <c r="W177" s="4">
        <f>1628873568.12281-1628873567.88822</f>
        <v>0.23458981513977051</v>
      </c>
      <c r="X177" s="3">
        <f t="shared" si="144"/>
        <v>234.58981513977051</v>
      </c>
      <c r="Z177" s="4">
        <f>1628873568.12654-1628873567.88822</f>
        <v>0.23831987380981445</v>
      </c>
      <c r="AA177" s="3">
        <f t="shared" si="145"/>
        <v>238.31987380981445</v>
      </c>
      <c r="AC177" s="4">
        <f>1628873568.13054-1628873567.88822</f>
        <v>0.24231982231140137</v>
      </c>
      <c r="AD177" s="3">
        <f t="shared" si="146"/>
        <v>242.31982231140137</v>
      </c>
      <c r="AF177" s="4">
        <f>1628873568.13507-1628873567.88822</f>
        <v>0.24685001373291016</v>
      </c>
      <c r="AG177" s="3">
        <f t="shared" si="147"/>
        <v>246.85001373291016</v>
      </c>
      <c r="AL177" s="4">
        <f>1628875105.04097-1628875104.81043</f>
        <v>0.23054003715515137</v>
      </c>
      <c r="AM177" s="3">
        <f t="shared" si="148"/>
        <v>230.54003715515137</v>
      </c>
      <c r="AO177" s="4">
        <f>1628875105.0438-1628875104.81043</f>
        <v>0.23337006568908691</v>
      </c>
      <c r="AP177" s="3">
        <f t="shared" si="149"/>
        <v>233.37006568908691</v>
      </c>
      <c r="AR177" s="4">
        <f>1628875105.04766-1628875104.81043</f>
        <v>0.23723006248474121</v>
      </c>
      <c r="AS177" s="3">
        <f t="shared" si="150"/>
        <v>237.23006248474121</v>
      </c>
      <c r="AU177" s="4">
        <f>1628875105.05175-1628875104.81043</f>
        <v>0.24131989479064941</v>
      </c>
      <c r="AV177" s="3">
        <f t="shared" si="151"/>
        <v>241.31989479064941</v>
      </c>
      <c r="AX177" s="4">
        <f>1628875105.05512-1628875104.81043</f>
        <v>0.24468994140625</v>
      </c>
      <c r="AY177" s="3">
        <f t="shared" si="152"/>
        <v>244.68994140625</v>
      </c>
    </row>
    <row r="178" spans="2:51" x14ac:dyDescent="0.3">
      <c r="B178" s="4">
        <f>1628869655.11677-1628869655.11052</f>
        <v>6.2501430511474609E-3</v>
      </c>
      <c r="C178" s="3">
        <f t="shared" si="138"/>
        <v>6.2501430511474609</v>
      </c>
      <c r="E178" s="4">
        <f>1628869655.11709-1628869655.11052</f>
        <v>6.5701007843017578E-3</v>
      </c>
      <c r="F178" s="3">
        <f t="shared" si="139"/>
        <v>6.5701007843017578</v>
      </c>
      <c r="H178" s="4">
        <f>1628869655.11717-1628869655.11052</f>
        <v>6.6502094268798828E-3</v>
      </c>
      <c r="I178" s="3">
        <f t="shared" si="140"/>
        <v>6.6502094268798828</v>
      </c>
      <c r="K178" s="4">
        <f>1628869655.11681-1628869655.11052</f>
        <v>6.2901973724365234E-3</v>
      </c>
      <c r="L178" s="3">
        <f t="shared" si="141"/>
        <v>6.2901973724365234</v>
      </c>
      <c r="N178" s="4">
        <f>1628869655.11711-1628869655.11052</f>
        <v>6.5901279449462891E-3</v>
      </c>
      <c r="O178" s="3">
        <f t="shared" si="142"/>
        <v>6.5901279449462891</v>
      </c>
      <c r="T178" s="4">
        <f>1628873569.38067-1628873569.15379</f>
        <v>0.22688007354736328</v>
      </c>
      <c r="U178" s="3">
        <f t="shared" si="143"/>
        <v>226.88007354736328</v>
      </c>
      <c r="W178" s="4">
        <f>1628873569.38491-1628873569.15379</f>
        <v>0.23112010955810547</v>
      </c>
      <c r="X178" s="3">
        <f t="shared" si="144"/>
        <v>231.12010955810547</v>
      </c>
      <c r="Z178" s="4">
        <f>1628873569.3893-1628873569.15379</f>
        <v>0.23551011085510254</v>
      </c>
      <c r="AA178" s="3">
        <f t="shared" si="145"/>
        <v>235.51011085510254</v>
      </c>
      <c r="AC178" s="4">
        <f>1628873569.39392-1628873569.15379</f>
        <v>0.24012994766235352</v>
      </c>
      <c r="AD178" s="3">
        <f t="shared" si="146"/>
        <v>240.12994766235352</v>
      </c>
      <c r="AF178" s="4">
        <f>1628873569.39775-1628873569.15379</f>
        <v>0.24395990371704102</v>
      </c>
      <c r="AG178" s="3">
        <f t="shared" si="147"/>
        <v>243.95990371704102</v>
      </c>
      <c r="AL178" s="4">
        <f>1628875106.30677-1628875106.07662</f>
        <v>0.23014998435974121</v>
      </c>
      <c r="AM178" s="3">
        <f t="shared" si="148"/>
        <v>230.14998435974121</v>
      </c>
      <c r="AO178" s="4">
        <f>1628875106.31119-1628875106.07662</f>
        <v>0.23456978797912598</v>
      </c>
      <c r="AP178" s="3">
        <f t="shared" si="149"/>
        <v>234.56978797912598</v>
      </c>
      <c r="AR178" s="4">
        <f>1628875106.31449-1628875106.07662</f>
        <v>0.2378699779510498</v>
      </c>
      <c r="AS178" s="3">
        <f t="shared" si="150"/>
        <v>237.8699779510498</v>
      </c>
      <c r="AU178" s="4">
        <f>1628875106.31756-1628875106.07662</f>
        <v>0.24093985557556152</v>
      </c>
      <c r="AV178" s="3">
        <f t="shared" si="151"/>
        <v>240.93985557556152</v>
      </c>
      <c r="AX178" s="4">
        <f>1628875106.32182-1628875106.07662</f>
        <v>0.24519991874694824</v>
      </c>
      <c r="AY178" s="3">
        <f t="shared" si="152"/>
        <v>245.19991874694824</v>
      </c>
    </row>
    <row r="179" spans="2:51" x14ac:dyDescent="0.3">
      <c r="B179" s="4">
        <f>1628869656.12388-1628869656.11783</f>
        <v>6.0498714447021484E-3</v>
      </c>
      <c r="C179" s="3">
        <f t="shared" si="138"/>
        <v>6.0498714447021484</v>
      </c>
      <c r="E179" s="4">
        <f>1628869656.12461-1628869656.11783</f>
        <v>6.7799091339111328E-3</v>
      </c>
      <c r="F179" s="3">
        <f t="shared" si="139"/>
        <v>6.7799091339111328</v>
      </c>
      <c r="H179" s="4">
        <f>1628869656.12427-1628869656.11783</f>
        <v>6.4399242401123047E-3</v>
      </c>
      <c r="I179" s="3">
        <f t="shared" si="140"/>
        <v>6.4399242401123047</v>
      </c>
      <c r="K179" s="4">
        <f>1628869656.124-1628869656.11783</f>
        <v>6.1700344085693359E-3</v>
      </c>
      <c r="L179" s="3">
        <f t="shared" si="141"/>
        <v>6.1700344085693359</v>
      </c>
      <c r="N179" s="4">
        <f>1628869656.12428-1628869656.11783</f>
        <v>6.4499378204345703E-3</v>
      </c>
      <c r="O179" s="3">
        <f t="shared" si="142"/>
        <v>6.4499378204345703</v>
      </c>
      <c r="T179" s="4">
        <f>1628873570.65518-1628873570.42245</f>
        <v>0.23272991180419922</v>
      </c>
      <c r="U179" s="3">
        <f t="shared" si="143"/>
        <v>232.72991180419922</v>
      </c>
      <c r="W179" s="4">
        <f>1628873570.65934-1628873570.42245</f>
        <v>0.23688983917236328</v>
      </c>
      <c r="X179" s="3">
        <f t="shared" si="144"/>
        <v>236.88983917236328</v>
      </c>
      <c r="Z179" s="4">
        <f>1628873570.66346-1628873570.42245</f>
        <v>0.24100995063781738</v>
      </c>
      <c r="AA179" s="3">
        <f t="shared" si="145"/>
        <v>241.00995063781738</v>
      </c>
      <c r="AC179" s="4">
        <f>1628873570.66836-1628873570.42245</f>
        <v>0.2459099292755127</v>
      </c>
      <c r="AD179" s="3">
        <f t="shared" si="146"/>
        <v>245.9099292755127</v>
      </c>
      <c r="AF179" s="4">
        <f>1628873570.67155-1628873570.42245</f>
        <v>0.2490999698638916</v>
      </c>
      <c r="AG179" s="3">
        <f t="shared" si="147"/>
        <v>249.0999698638916</v>
      </c>
      <c r="AL179" s="4">
        <f>1628875107.57591-1628875107.34241</f>
        <v>0.23350000381469727</v>
      </c>
      <c r="AM179" s="3">
        <f t="shared" si="148"/>
        <v>233.50000381469727</v>
      </c>
      <c r="AO179" s="4">
        <f>1628875107.58022-1628875107.34241</f>
        <v>0.23780989646911621</v>
      </c>
      <c r="AP179" s="3">
        <f t="shared" si="149"/>
        <v>237.80989646911621</v>
      </c>
      <c r="AR179" s="4">
        <f>1628875107.5833-1628875107.34241</f>
        <v>0.2408900260925293</v>
      </c>
      <c r="AS179" s="3">
        <f t="shared" si="150"/>
        <v>240.8900260925293</v>
      </c>
      <c r="AU179" s="4">
        <f>1628875107.58645-1628875107.34241</f>
        <v>0.24404001235961914</v>
      </c>
      <c r="AV179" s="3">
        <f t="shared" si="151"/>
        <v>244.04001235961914</v>
      </c>
      <c r="AX179" s="4">
        <f>1628875107.58931-1628875107.34241</f>
        <v>0.24689984321594238</v>
      </c>
      <c r="AY179" s="3">
        <f t="shared" si="152"/>
        <v>246.89984321594238</v>
      </c>
    </row>
    <row r="180" spans="2:51" x14ac:dyDescent="0.3">
      <c r="B180" s="4">
        <f>1628869657.13123-1628869657.12504</f>
        <v>6.1900615692138672E-3</v>
      </c>
      <c r="C180" s="3">
        <f t="shared" si="138"/>
        <v>6.1900615692138672</v>
      </c>
      <c r="E180" s="4">
        <f>1628869657.13178-1628869657.12504</f>
        <v>6.7398548126220703E-3</v>
      </c>
      <c r="F180" s="3">
        <f t="shared" si="139"/>
        <v>6.7398548126220703</v>
      </c>
      <c r="H180" s="4">
        <f>1628869657.13554-1628869657.12504</f>
        <v>1.0499954223632813E-2</v>
      </c>
      <c r="I180" s="3">
        <f t="shared" si="140"/>
        <v>10.499954223632813</v>
      </c>
      <c r="K180" s="4">
        <f>1628869657.1313-1628869657.12504</f>
        <v>6.259918212890625E-3</v>
      </c>
      <c r="L180" s="3">
        <f t="shared" si="141"/>
        <v>6.259918212890625</v>
      </c>
      <c r="N180" s="4">
        <f>1628869657.1357-1628869657.12504</f>
        <v>1.0659933090209961E-2</v>
      </c>
      <c r="O180" s="3">
        <f t="shared" si="142"/>
        <v>10.659933090209961</v>
      </c>
      <c r="T180" s="4">
        <f>1628873571.92222-1628873571.69399</f>
        <v>0.22822999954223633</v>
      </c>
      <c r="U180" s="3">
        <f t="shared" si="143"/>
        <v>228.22999954223633</v>
      </c>
      <c r="W180" s="4">
        <f>1628873571.92653-1628873571.69399</f>
        <v>0.23253989219665527</v>
      </c>
      <c r="X180" s="3">
        <f t="shared" si="144"/>
        <v>232.53989219665527</v>
      </c>
      <c r="Z180" s="4">
        <f>1628873571.93088-1628873571.69399</f>
        <v>0.23689007759094238</v>
      </c>
      <c r="AA180" s="3">
        <f t="shared" si="145"/>
        <v>236.89007759094238</v>
      </c>
      <c r="AC180" s="4">
        <f>1628873571.93447-1628873571.69399</f>
        <v>0.24047994613647461</v>
      </c>
      <c r="AD180" s="3">
        <f t="shared" si="146"/>
        <v>240.47994613647461</v>
      </c>
      <c r="AF180" s="4">
        <f>1628873571.93679-1628873571.69399</f>
        <v>0.24279999732971191</v>
      </c>
      <c r="AG180" s="3">
        <f t="shared" si="147"/>
        <v>242.79999732971191</v>
      </c>
      <c r="AL180" s="4">
        <f>1628875108.84371-1628875108.6092</f>
        <v>0.23450994491577148</v>
      </c>
      <c r="AM180" s="3">
        <f t="shared" si="148"/>
        <v>234.50994491577148</v>
      </c>
      <c r="AO180" s="4">
        <f>1628875108.8484-1628875108.6092</f>
        <v>0.23920011520385742</v>
      </c>
      <c r="AP180" s="3">
        <f t="shared" si="149"/>
        <v>239.20011520385742</v>
      </c>
      <c r="AR180" s="4">
        <f>1628875108.85275-1628875108.6092</f>
        <v>0.24355006217956543</v>
      </c>
      <c r="AS180" s="3">
        <f t="shared" si="150"/>
        <v>243.55006217956543</v>
      </c>
      <c r="AU180" s="4">
        <f>1628875108.85825-1628875108.6092</f>
        <v>0.24904990196228027</v>
      </c>
      <c r="AV180" s="3">
        <f t="shared" si="151"/>
        <v>249.04990196228027</v>
      </c>
      <c r="AX180" s="4">
        <f>1628875108.86203-1628875108.6092</f>
        <v>0.25283002853393555</v>
      </c>
      <c r="AY180" s="3">
        <f t="shared" si="152"/>
        <v>252.83002853393555</v>
      </c>
    </row>
    <row r="181" spans="2:51" x14ac:dyDescent="0.3">
      <c r="C181" s="2">
        <f>AVERAGE(C171:C180)</f>
        <v>6.0650110244750977</v>
      </c>
      <c r="F181" s="2">
        <f>AVERAGE(F171:F180)</f>
        <v>6.8830013275146484</v>
      </c>
      <c r="I181" s="2">
        <f>AVERAGE(I171:I180)</f>
        <v>7.1990251541137695</v>
      </c>
      <c r="L181" s="2">
        <f>AVERAGE(L171:L180)</f>
        <v>6.2129974365234375</v>
      </c>
      <c r="O181" s="2">
        <f>AVERAGE(O171:O180)</f>
        <v>6.9340229034423828</v>
      </c>
      <c r="U181" s="2">
        <f>AVERAGE(U171:U180)</f>
        <v>225.26297569274902</v>
      </c>
      <c r="X181" s="2">
        <f>AVERAGE(X171:X180)</f>
        <v>229.10597324371338</v>
      </c>
      <c r="AA181" s="2">
        <f>AVERAGE(AA171:AA180)</f>
        <v>233.10196399688721</v>
      </c>
      <c r="AD181" s="2">
        <f>AVERAGE(AD171:AD180)</f>
        <v>237.41693496704102</v>
      </c>
      <c r="AG181" s="2">
        <f>AVERAGE(AG171:AG180)</f>
        <v>241.1369800567627</v>
      </c>
      <c r="AM181" s="2">
        <f>AVERAGE(AM171:AM180)</f>
        <v>231.42497539520264</v>
      </c>
      <c r="AP181" s="2">
        <f>AVERAGE(AP171:AP180)</f>
        <v>235.37600040435791</v>
      </c>
      <c r="AS181" s="2">
        <f>AVERAGE(AS171:AS180)</f>
        <v>239.00401592254639</v>
      </c>
      <c r="AV181" s="2">
        <f>AVERAGE(AV171:AV180)</f>
        <v>242.97995567321777</v>
      </c>
      <c r="AY181" s="2">
        <f>AVERAGE(AY171:AY180)</f>
        <v>246.99997901916504</v>
      </c>
    </row>
    <row r="183" spans="2:51" x14ac:dyDescent="0.3">
      <c r="B183" s="6" t="s">
        <v>32</v>
      </c>
      <c r="C183" s="6"/>
      <c r="E183" s="6" t="s">
        <v>33</v>
      </c>
      <c r="F183" s="6"/>
      <c r="H183" s="6" t="s">
        <v>34</v>
      </c>
      <c r="I183" s="6"/>
      <c r="K183" s="6" t="s">
        <v>35</v>
      </c>
      <c r="L183" s="6"/>
      <c r="N183" s="6" t="s">
        <v>36</v>
      </c>
      <c r="O183" s="6"/>
      <c r="T183" s="6" t="s">
        <v>32</v>
      </c>
      <c r="U183" s="6"/>
      <c r="W183" s="6" t="s">
        <v>33</v>
      </c>
      <c r="X183" s="6"/>
      <c r="Z183" s="6" t="s">
        <v>34</v>
      </c>
      <c r="AA183" s="6"/>
      <c r="AC183" s="6" t="s">
        <v>35</v>
      </c>
      <c r="AD183" s="6"/>
      <c r="AF183" s="6" t="s">
        <v>36</v>
      </c>
      <c r="AG183" s="6"/>
      <c r="AL183" s="6" t="s">
        <v>32</v>
      </c>
      <c r="AM183" s="6"/>
      <c r="AO183" s="6" t="s">
        <v>33</v>
      </c>
      <c r="AP183" s="6"/>
      <c r="AR183" s="6" t="s">
        <v>34</v>
      </c>
      <c r="AS183" s="6"/>
      <c r="AU183" s="6" t="s">
        <v>35</v>
      </c>
      <c r="AV183" s="6"/>
      <c r="AX183" s="6" t="s">
        <v>36</v>
      </c>
      <c r="AY183" s="6"/>
    </row>
    <row r="184" spans="2:51" ht="27.6" customHeight="1" x14ac:dyDescent="0.3">
      <c r="B184" s="8" t="s">
        <v>2</v>
      </c>
      <c r="C184" s="8"/>
      <c r="E184" s="8" t="s">
        <v>2</v>
      </c>
      <c r="F184" s="8"/>
      <c r="H184" s="8" t="s">
        <v>2</v>
      </c>
      <c r="I184" s="8"/>
      <c r="K184" s="8" t="s">
        <v>2</v>
      </c>
      <c r="L184" s="8"/>
      <c r="N184" s="8" t="s">
        <v>2</v>
      </c>
      <c r="O184" s="8"/>
      <c r="T184" s="8" t="s">
        <v>62</v>
      </c>
      <c r="U184" s="8"/>
      <c r="W184" s="8" t="s">
        <v>62</v>
      </c>
      <c r="X184" s="8"/>
      <c r="Z184" s="8" t="s">
        <v>62</v>
      </c>
      <c r="AA184" s="8"/>
      <c r="AC184" s="8" t="s">
        <v>62</v>
      </c>
      <c r="AD184" s="8"/>
      <c r="AF184" s="8" t="s">
        <v>62</v>
      </c>
      <c r="AG184" s="8"/>
      <c r="AL184" s="8" t="s">
        <v>63</v>
      </c>
      <c r="AM184" s="8"/>
      <c r="AO184" s="8" t="s">
        <v>63</v>
      </c>
      <c r="AP184" s="8"/>
      <c r="AR184" s="8" t="s">
        <v>63</v>
      </c>
      <c r="AS184" s="8"/>
      <c r="AU184" s="8" t="s">
        <v>63</v>
      </c>
      <c r="AV184" s="8"/>
      <c r="AX184" s="8" t="s">
        <v>63</v>
      </c>
      <c r="AY184" s="8"/>
    </row>
    <row r="185" spans="2:51" x14ac:dyDescent="0.3">
      <c r="B185" s="1" t="s">
        <v>1</v>
      </c>
      <c r="C185" s="1" t="s">
        <v>0</v>
      </c>
      <c r="E185" s="1" t="s">
        <v>1</v>
      </c>
      <c r="F185" s="1" t="s">
        <v>0</v>
      </c>
      <c r="H185" s="1" t="s">
        <v>1</v>
      </c>
      <c r="I185" s="1" t="s">
        <v>0</v>
      </c>
      <c r="K185" s="1" t="s">
        <v>1</v>
      </c>
      <c r="L185" s="1" t="s">
        <v>0</v>
      </c>
      <c r="N185" s="1" t="s">
        <v>1</v>
      </c>
      <c r="O185" s="1" t="s">
        <v>0</v>
      </c>
      <c r="T185" s="1" t="s">
        <v>1</v>
      </c>
      <c r="U185" s="1" t="s">
        <v>0</v>
      </c>
      <c r="W185" s="1" t="s">
        <v>1</v>
      </c>
      <c r="X185" s="1" t="s">
        <v>0</v>
      </c>
      <c r="Z185" s="1" t="s">
        <v>1</v>
      </c>
      <c r="AA185" s="1" t="s">
        <v>0</v>
      </c>
      <c r="AC185" s="1" t="s">
        <v>1</v>
      </c>
      <c r="AD185" s="1" t="s">
        <v>0</v>
      </c>
      <c r="AF185" s="1" t="s">
        <v>1</v>
      </c>
      <c r="AG185" s="1" t="s">
        <v>0</v>
      </c>
      <c r="AL185" s="1" t="s">
        <v>1</v>
      </c>
      <c r="AM185" s="1" t="s">
        <v>0</v>
      </c>
      <c r="AO185" s="1" t="s">
        <v>1</v>
      </c>
      <c r="AP185" s="1" t="s">
        <v>0</v>
      </c>
      <c r="AR185" s="1" t="s">
        <v>1</v>
      </c>
      <c r="AS185" s="1" t="s">
        <v>0</v>
      </c>
      <c r="AU185" s="1" t="s">
        <v>1</v>
      </c>
      <c r="AV185" s="1" t="s">
        <v>0</v>
      </c>
      <c r="AX185" s="1" t="s">
        <v>1</v>
      </c>
      <c r="AY185" s="1" t="s">
        <v>0</v>
      </c>
    </row>
    <row r="186" spans="2:51" x14ac:dyDescent="0.3">
      <c r="B186" s="4">
        <f>1628869648.06629-1628869648.06002</f>
        <v>6.2699317932128906E-3</v>
      </c>
      <c r="C186" s="3">
        <f>B186*1000</f>
        <v>6.2699317932128906</v>
      </c>
      <c r="E186" s="4">
        <f>1628869648.06629-1628869648.06002</f>
        <v>6.2699317932128906E-3</v>
      </c>
      <c r="F186" s="3">
        <f>E186*1000</f>
        <v>6.2699317932128906</v>
      </c>
      <c r="H186" s="4">
        <f>1628869648.06644-1628869648.06002</f>
        <v>6.420135498046875E-3</v>
      </c>
      <c r="I186" s="3">
        <f>H186*1000</f>
        <v>6.420135498046875</v>
      </c>
      <c r="K186" s="4">
        <f>1628869648.06724-1628869648.06002</f>
        <v>7.2200298309326172E-3</v>
      </c>
      <c r="L186" s="3">
        <f>K186*1000</f>
        <v>7.2200298309326172</v>
      </c>
      <c r="N186" s="4">
        <f>1628869648.06669-1628869648.06002</f>
        <v>6.6699981689453125E-3</v>
      </c>
      <c r="O186" s="3">
        <f>N186*1000</f>
        <v>6.6699981689453125</v>
      </c>
      <c r="T186" s="4">
        <f>1628873560.58095-1628873560.32879</f>
        <v>0.25216007232666016</v>
      </c>
      <c r="U186" s="3">
        <f>T186*1000</f>
        <v>252.16007232666016</v>
      </c>
      <c r="W186" s="4">
        <f>1628873560.58546-1628873560.32879</f>
        <v>0.25666999816894531</v>
      </c>
      <c r="X186" s="3">
        <f>W186*1000</f>
        <v>256.66999816894531</v>
      </c>
      <c r="Z186" s="4">
        <f>1628873560.58951-1628873560.32879</f>
        <v>0.26072001457214355</v>
      </c>
      <c r="AA186" s="3">
        <f>Z186*1000</f>
        <v>260.72001457214355</v>
      </c>
      <c r="AC186" s="4">
        <f>1628873560.59356-1628873560.32879</f>
        <v>0.2647700309753418</v>
      </c>
      <c r="AD186" s="3">
        <f>AC186*1000</f>
        <v>264.7700309753418</v>
      </c>
      <c r="AF186" s="4">
        <f>1628873560.59716-1628873560.32879</f>
        <v>0.26837015151977539</v>
      </c>
      <c r="AG186" s="3">
        <f>AF186*1000</f>
        <v>268.37015151977539</v>
      </c>
      <c r="AL186" s="4">
        <f>1628875097.45087-1628875097.20454</f>
        <v>0.24633002281188965</v>
      </c>
      <c r="AM186" s="3">
        <f>AL186*1000</f>
        <v>246.33002281188965</v>
      </c>
      <c r="AO186" s="4">
        <f>1628875097.45473-1628875097.20454</f>
        <v>0.25019001960754395</v>
      </c>
      <c r="AP186" s="3">
        <f>AO186*1000</f>
        <v>250.19001960754395</v>
      </c>
      <c r="AR186" s="4">
        <f>1628875097.4589-1628875097.20454</f>
        <v>0.25435996055603027</v>
      </c>
      <c r="AS186" s="3">
        <f>AR186*1000</f>
        <v>254.35996055603027</v>
      </c>
      <c r="AU186" s="4">
        <f>1628875097.4629-1628875097.20454</f>
        <v>0.25835990905761719</v>
      </c>
      <c r="AV186" s="3">
        <f>AU186*1000</f>
        <v>258.35990905761719</v>
      </c>
      <c r="AX186" s="4">
        <f>1628875097.46768-1628875097.20454</f>
        <v>0.26313996315002441</v>
      </c>
      <c r="AY186" s="3">
        <f>AX186*1000</f>
        <v>263.13996315002441</v>
      </c>
    </row>
    <row r="187" spans="2:51" x14ac:dyDescent="0.3">
      <c r="B187" s="4">
        <f>1628869649.07371-1628869649.06764</f>
        <v>6.0698986053466797E-3</v>
      </c>
      <c r="C187" s="3">
        <f t="shared" ref="C187:C195" si="153">B187*1000</f>
        <v>6.0698986053466797</v>
      </c>
      <c r="E187" s="4">
        <f>1628869649.07376-1628869649.06764</f>
        <v>6.1199665069580078E-3</v>
      </c>
      <c r="F187" s="3">
        <f t="shared" ref="F187:F195" si="154">E187*1000</f>
        <v>6.1199665069580078</v>
      </c>
      <c r="H187" s="4">
        <f>1628869649.07394-1628869649.06764</f>
        <v>6.2999725341796875E-3</v>
      </c>
      <c r="I187" s="3">
        <f t="shared" ref="I187:I195" si="155">H187*1000</f>
        <v>6.2999725341796875</v>
      </c>
      <c r="K187" s="4">
        <f>1628869649.07434-1628869649.06764</f>
        <v>6.7000389099121094E-3</v>
      </c>
      <c r="L187" s="3">
        <f t="shared" ref="L187:L195" si="156">K187*1000</f>
        <v>6.7000389099121094</v>
      </c>
      <c r="N187" s="4">
        <f>1628869649.07474-1628869649.06764</f>
        <v>7.0998668670654297E-3</v>
      </c>
      <c r="O187" s="3">
        <f t="shared" ref="O187:O195" si="157">N187*1000</f>
        <v>7.0998668670654297</v>
      </c>
      <c r="T187" s="4">
        <f>1628873561.85294-1628873561.59871</f>
        <v>0.25423002243041992</v>
      </c>
      <c r="U187" s="3">
        <f t="shared" ref="U187:U195" si="158">T187*1000</f>
        <v>254.23002243041992</v>
      </c>
      <c r="W187" s="4">
        <f>1628873561.85741-1628873561.59871</f>
        <v>0.25869989395141602</v>
      </c>
      <c r="X187" s="3">
        <f t="shared" ref="X187:X195" si="159">W187*1000</f>
        <v>258.69989395141602</v>
      </c>
      <c r="Z187" s="4">
        <f>1628873561.8618-1628873561.59871</f>
        <v>0.26308989524841309</v>
      </c>
      <c r="AA187" s="3">
        <f t="shared" ref="AA187:AA195" si="160">Z187*1000</f>
        <v>263.08989524841309</v>
      </c>
      <c r="AC187" s="4">
        <f>1628873561.86584-1628873561.59871</f>
        <v>0.26712989807128906</v>
      </c>
      <c r="AD187" s="3">
        <f t="shared" ref="AD187:AD195" si="161">AC187*1000</f>
        <v>267.12989807128906</v>
      </c>
      <c r="AF187" s="4">
        <f>1628873561.87036-1628873561.59871</f>
        <v>0.27164983749389648</v>
      </c>
      <c r="AG187" s="3">
        <f t="shared" ref="AG187:AG195" si="162">AF187*1000</f>
        <v>271.64983749389648</v>
      </c>
      <c r="AL187" s="4">
        <f>1628875098.71844-1628875098.46874</f>
        <v>0.24970006942749023</v>
      </c>
      <c r="AM187" s="3">
        <f t="shared" ref="AM187:AM195" si="163">AL187*1000</f>
        <v>249.70006942749023</v>
      </c>
      <c r="AO187" s="4">
        <f>1628875098.72259-1628875098.46874</f>
        <v>0.25384998321533203</v>
      </c>
      <c r="AP187" s="3">
        <f t="shared" ref="AP187:AP195" si="164">AO187*1000</f>
        <v>253.84998321533203</v>
      </c>
      <c r="AR187" s="4">
        <f>1628875098.72659-1628875098.46874</f>
        <v>0.25784993171691895</v>
      </c>
      <c r="AS187" s="3">
        <f t="shared" ref="AS187:AS195" si="165">AR187*1000</f>
        <v>257.84993171691895</v>
      </c>
      <c r="AU187" s="4">
        <f>1628875098.7304-1628875098.46874</f>
        <v>0.26166009902954102</v>
      </c>
      <c r="AV187" s="3">
        <f t="shared" ref="AV187:AV195" si="166">AU187*1000</f>
        <v>261.66009902954102</v>
      </c>
      <c r="AX187" s="4">
        <f>1628875098.73497-1628875098.46874</f>
        <v>0.26623010635375977</v>
      </c>
      <c r="AY187" s="3">
        <f t="shared" ref="AY187:AY195" si="167">AX187*1000</f>
        <v>266.23010635375977</v>
      </c>
    </row>
    <row r="188" spans="2:51" x14ac:dyDescent="0.3">
      <c r="B188" s="4">
        <f>1628869650.08124-1628869650.07508</f>
        <v>6.1600208282470703E-3</v>
      </c>
      <c r="C188" s="3">
        <f t="shared" si="153"/>
        <v>6.1600208282470703</v>
      </c>
      <c r="E188" s="4">
        <f>1628869650.08123-1628869650.07508</f>
        <v>6.1500072479248047E-3</v>
      </c>
      <c r="F188" s="3">
        <f t="shared" si="154"/>
        <v>6.1500072479248047</v>
      </c>
      <c r="H188" s="4">
        <f>1628869650.0814-1628869650.07508</f>
        <v>6.3199996948242188E-3</v>
      </c>
      <c r="I188" s="3">
        <f t="shared" si="155"/>
        <v>6.3199996948242188</v>
      </c>
      <c r="K188" s="4">
        <f>1628869650.08218-1628869650.07508</f>
        <v>7.1001052856445313E-3</v>
      </c>
      <c r="L188" s="3">
        <f t="shared" si="156"/>
        <v>7.1001052856445313</v>
      </c>
      <c r="N188" s="4">
        <f>1628869650.08254-1628869650.07508</f>
        <v>7.4601173400878906E-3</v>
      </c>
      <c r="O188" s="3">
        <f t="shared" si="157"/>
        <v>7.4601173400878906</v>
      </c>
      <c r="T188" s="4">
        <f>1628873563.06085-1628873562.87167</f>
        <v>0.18917989730834961</v>
      </c>
      <c r="U188" s="3">
        <f t="shared" si="158"/>
        <v>189.17989730834961</v>
      </c>
      <c r="W188" s="4">
        <f>1628873563.06475-1628873562.87167</f>
        <v>0.19307994842529297</v>
      </c>
      <c r="X188" s="3">
        <f t="shared" si="159"/>
        <v>193.07994842529297</v>
      </c>
      <c r="Z188" s="4">
        <f>1628873563.06799-1628873562.87167</f>
        <v>0.1963200569152832</v>
      </c>
      <c r="AA188" s="3">
        <f t="shared" si="160"/>
        <v>196.3200569152832</v>
      </c>
      <c r="AC188" s="4">
        <f>1628873563.07078-1628873562.87167</f>
        <v>0.19911003112792969</v>
      </c>
      <c r="AD188" s="3">
        <f t="shared" si="161"/>
        <v>199.11003112792969</v>
      </c>
      <c r="AF188" s="4">
        <f>1628873563.07429-1628873562.87167</f>
        <v>0.20262002944946289</v>
      </c>
      <c r="AG188" s="3">
        <f t="shared" si="162"/>
        <v>202.62002944946289</v>
      </c>
      <c r="AL188" s="4">
        <f>1628875099.98473-1628875099.73556</f>
        <v>0.24917006492614746</v>
      </c>
      <c r="AM188" s="3">
        <f t="shared" si="163"/>
        <v>249.17006492614746</v>
      </c>
      <c r="AO188" s="4">
        <f>1628875099.98893-1628875099.73556</f>
        <v>0.25337004661560059</v>
      </c>
      <c r="AP188" s="3">
        <f t="shared" si="164"/>
        <v>253.37004661560059</v>
      </c>
      <c r="AR188" s="4">
        <f>1628875099.99292-1628875099.73556</f>
        <v>0.25735998153686523</v>
      </c>
      <c r="AS188" s="3">
        <f t="shared" si="165"/>
        <v>257.35998153686523</v>
      </c>
      <c r="AU188" s="4">
        <f>1628875099.99657-1628875099.73556</f>
        <v>0.26101016998291016</v>
      </c>
      <c r="AV188" s="3">
        <f t="shared" si="166"/>
        <v>261.01016998291016</v>
      </c>
      <c r="AX188" s="4">
        <f>1628875100.00132-1628875099.73556</f>
        <v>0.26575994491577148</v>
      </c>
      <c r="AY188" s="3">
        <f t="shared" si="167"/>
        <v>265.75994491577148</v>
      </c>
    </row>
    <row r="189" spans="2:51" x14ac:dyDescent="0.3">
      <c r="B189" s="4">
        <f>1628869651.08855-1628869651.0824</f>
        <v>6.1500072479248047E-3</v>
      </c>
      <c r="C189" s="3">
        <f t="shared" si="153"/>
        <v>6.1500072479248047</v>
      </c>
      <c r="E189" s="4">
        <f>1628869651.08862-1628869651.0824</f>
        <v>6.2198638916015625E-3</v>
      </c>
      <c r="F189" s="3">
        <f t="shared" si="154"/>
        <v>6.2198638916015625</v>
      </c>
      <c r="H189" s="4">
        <f>1628869651.08866-1628869651.0824</f>
        <v>6.259918212890625E-3</v>
      </c>
      <c r="I189" s="3">
        <f t="shared" si="155"/>
        <v>6.259918212890625</v>
      </c>
      <c r="K189" s="4">
        <f>1628869651.0886-1628869651.0824</f>
        <v>6.1998367309570313E-3</v>
      </c>
      <c r="L189" s="3">
        <f t="shared" si="156"/>
        <v>6.1998367309570313</v>
      </c>
      <c r="N189" s="4">
        <f>1628869651.08922-1628869651.0824</f>
        <v>6.8199634552001953E-3</v>
      </c>
      <c r="O189" s="3">
        <f t="shared" si="157"/>
        <v>6.8199634552001953</v>
      </c>
      <c r="T189" s="4">
        <f>1628873564.33384-1628873564.07584</f>
        <v>0.25799989700317383</v>
      </c>
      <c r="U189" s="3">
        <f t="shared" si="158"/>
        <v>257.99989700317383</v>
      </c>
      <c r="W189" s="4">
        <f>1628873564.33844-1628873564.07584</f>
        <v>0.26259994506835938</v>
      </c>
      <c r="X189" s="3">
        <f t="shared" si="159"/>
        <v>262.59994506835938</v>
      </c>
      <c r="Z189" s="4">
        <f>1628873564.34304-1628873564.07584</f>
        <v>0.26719999313354492</v>
      </c>
      <c r="AA189" s="3">
        <f t="shared" si="160"/>
        <v>267.19999313354492</v>
      </c>
      <c r="AC189" s="4">
        <f>1628873564.34733-1628873564.07584</f>
        <v>0.27149009704589844</v>
      </c>
      <c r="AD189" s="3">
        <f t="shared" si="161"/>
        <v>271.49009704589844</v>
      </c>
      <c r="AF189" s="4">
        <f>1628873564.35136-1628873564.07584</f>
        <v>0.27552008628845215</v>
      </c>
      <c r="AG189" s="3">
        <f t="shared" si="162"/>
        <v>275.52008628845215</v>
      </c>
      <c r="AL189" s="4">
        <f>1628875101.24999-1628875101.00213</f>
        <v>0.24785995483398438</v>
      </c>
      <c r="AM189" s="3">
        <f t="shared" si="163"/>
        <v>247.85995483398438</v>
      </c>
      <c r="AO189" s="4">
        <f>1628875101.25443-1628875101.00213</f>
        <v>0.25230002403259277</v>
      </c>
      <c r="AP189" s="3">
        <f t="shared" si="164"/>
        <v>252.30002403259277</v>
      </c>
      <c r="AR189" s="4">
        <f>1628875101.25835-1628875101.00213</f>
        <v>0.25621986389160156</v>
      </c>
      <c r="AS189" s="3">
        <f t="shared" si="165"/>
        <v>256.21986389160156</v>
      </c>
      <c r="AU189" s="4">
        <f>1628875101.26159-1628875101.00213</f>
        <v>0.2594599723815918</v>
      </c>
      <c r="AV189" s="3">
        <f t="shared" si="166"/>
        <v>259.4599723815918</v>
      </c>
      <c r="AX189" s="4">
        <f>1628875101.26582-1628875101.00213</f>
        <v>0.26368999481201172</v>
      </c>
      <c r="AY189" s="3">
        <f t="shared" si="167"/>
        <v>263.68999481201172</v>
      </c>
    </row>
    <row r="190" spans="2:51" x14ac:dyDescent="0.3">
      <c r="B190" s="4">
        <f>1628869652.09555-1628869652.08963</f>
        <v>5.9201717376708984E-3</v>
      </c>
      <c r="C190" s="3">
        <f t="shared" si="153"/>
        <v>5.9201717376708984</v>
      </c>
      <c r="E190" s="4">
        <f>1628869652.09559-1628869652.08963</f>
        <v>5.9602260589599609E-3</v>
      </c>
      <c r="F190" s="3">
        <f t="shared" si="154"/>
        <v>5.9602260589599609</v>
      </c>
      <c r="H190" s="4">
        <f>1628869652.09567-1628869652.08963</f>
        <v>6.0400962829589844E-3</v>
      </c>
      <c r="I190" s="3">
        <f t="shared" si="155"/>
        <v>6.0400962829589844</v>
      </c>
      <c r="K190" s="4">
        <f>1628869652.09641-1628869652.08963</f>
        <v>6.7801475524902344E-3</v>
      </c>
      <c r="L190" s="3">
        <f t="shared" si="156"/>
        <v>6.7801475524902344</v>
      </c>
      <c r="N190" s="4">
        <f>1628869652.09601-1628869652.08963</f>
        <v>6.3800811767578125E-3</v>
      </c>
      <c r="O190" s="3">
        <f t="shared" si="157"/>
        <v>6.3800811767578125</v>
      </c>
      <c r="T190" s="4">
        <f>1628873565.60716-1628873565.35344</f>
        <v>0.25372004508972168</v>
      </c>
      <c r="U190" s="3">
        <f t="shared" si="158"/>
        <v>253.72004508972168</v>
      </c>
      <c r="W190" s="4">
        <f>1628873565.61182-1628873565.35344</f>
        <v>0.25837993621826172</v>
      </c>
      <c r="X190" s="3">
        <f t="shared" si="159"/>
        <v>258.37993621826172</v>
      </c>
      <c r="Z190" s="4">
        <f>1628873565.61591-1628873565.35344</f>
        <v>0.26247000694274902</v>
      </c>
      <c r="AA190" s="3">
        <f t="shared" si="160"/>
        <v>262.47000694274902</v>
      </c>
      <c r="AC190" s="4">
        <f>1628873565.6204-1628873565.35344</f>
        <v>0.26695990562438965</v>
      </c>
      <c r="AD190" s="3">
        <f t="shared" si="161"/>
        <v>266.95990562438965</v>
      </c>
      <c r="AF190" s="4">
        <f>1628873565.62548-1628873565.35344</f>
        <v>0.27203989028930664</v>
      </c>
      <c r="AG190" s="3">
        <f t="shared" si="162"/>
        <v>272.03989028930664</v>
      </c>
      <c r="AL190" s="4">
        <f>1628875102.51918-1628875102.26671</f>
        <v>0.25247001647949219</v>
      </c>
      <c r="AM190" s="3">
        <f t="shared" si="163"/>
        <v>252.47001647949219</v>
      </c>
      <c r="AO190" s="4">
        <f>1628875102.52351-1628875102.26671</f>
        <v>0.25679993629455566</v>
      </c>
      <c r="AP190" s="3">
        <f t="shared" si="164"/>
        <v>256.79993629455566</v>
      </c>
      <c r="AR190" s="4">
        <f>1628875102.52703-1628875102.26671</f>
        <v>0.26031994819641113</v>
      </c>
      <c r="AS190" s="3">
        <f t="shared" si="165"/>
        <v>260.31994819641113</v>
      </c>
      <c r="AU190" s="4">
        <f>1628875102.5308-1628875102.26671</f>
        <v>0.26409006118774414</v>
      </c>
      <c r="AV190" s="3">
        <f t="shared" si="166"/>
        <v>264.09006118774414</v>
      </c>
      <c r="AX190" s="4">
        <f>1628875102.53393-1628875102.26671</f>
        <v>0.26722002029418945</v>
      </c>
      <c r="AY190" s="3">
        <f t="shared" si="167"/>
        <v>267.22002029418945</v>
      </c>
    </row>
    <row r="191" spans="2:51" x14ac:dyDescent="0.3">
      <c r="B191" s="4">
        <f>1628869653.10209-1628869653.09703</f>
        <v>5.0599575042724609E-3</v>
      </c>
      <c r="C191" s="3">
        <f t="shared" si="153"/>
        <v>5.0599575042724609</v>
      </c>
      <c r="E191" s="4">
        <f>1628869653.10208-1628869653.09703</f>
        <v>5.0501823425292969E-3</v>
      </c>
      <c r="F191" s="3">
        <f t="shared" si="154"/>
        <v>5.0501823425292969</v>
      </c>
      <c r="H191" s="4">
        <f>1628869653.10236-1628869653.09703</f>
        <v>5.3300857543945313E-3</v>
      </c>
      <c r="I191" s="3">
        <f t="shared" si="155"/>
        <v>5.3300857543945313</v>
      </c>
      <c r="K191" s="4">
        <f>1628869653.10266-1628869653.09703</f>
        <v>5.6300163269042969E-3</v>
      </c>
      <c r="L191" s="3">
        <f t="shared" si="156"/>
        <v>5.6300163269042969</v>
      </c>
      <c r="N191" s="4">
        <f>1628869653.10305-1628869653.09703</f>
        <v>6.0200691223144531E-3</v>
      </c>
      <c r="O191" s="3">
        <f t="shared" si="157"/>
        <v>6.0200691223144531</v>
      </c>
      <c r="T191" s="4">
        <f>1628873566.87174-1628873566.62751</f>
        <v>0.24423003196716309</v>
      </c>
      <c r="U191" s="3">
        <f t="shared" si="158"/>
        <v>244.23003196716309</v>
      </c>
      <c r="W191" s="4">
        <f>1628873566.87609-1628873566.62751</f>
        <v>0.24857997894287109</v>
      </c>
      <c r="X191" s="3">
        <f t="shared" si="159"/>
        <v>248.57997894287109</v>
      </c>
      <c r="Z191" s="4">
        <f>1628873566.87957-1628873566.62751</f>
        <v>0.2520599365234375</v>
      </c>
      <c r="AA191" s="3">
        <f t="shared" si="160"/>
        <v>252.0599365234375</v>
      </c>
      <c r="AC191" s="4">
        <f>1628873566.88263-1628873566.62751</f>
        <v>0.25512003898620605</v>
      </c>
      <c r="AD191" s="3">
        <f t="shared" si="161"/>
        <v>255.12003898620605</v>
      </c>
      <c r="AF191" s="4">
        <f>1628873566.88665-1628873566.62751</f>
        <v>0.2591400146484375</v>
      </c>
      <c r="AG191" s="3">
        <f t="shared" si="162"/>
        <v>259.1400146484375</v>
      </c>
      <c r="AL191" s="4">
        <f>1628875103.79364-1628875103.5344</f>
        <v>0.25923991203308105</v>
      </c>
      <c r="AM191" s="3">
        <f t="shared" si="163"/>
        <v>259.23991203308105</v>
      </c>
      <c r="AO191" s="4">
        <f>1628875103.79803-1628875103.5344</f>
        <v>0.26362991333007813</v>
      </c>
      <c r="AP191" s="3">
        <f t="shared" si="164"/>
        <v>263.62991333007813</v>
      </c>
      <c r="AR191" s="4">
        <f>1628875103.80155-1628875103.5344</f>
        <v>0.26714992523193359</v>
      </c>
      <c r="AS191" s="3">
        <f t="shared" si="165"/>
        <v>267.14992523193359</v>
      </c>
      <c r="AU191" s="4">
        <f>1628875103.80527-1628875103.5344</f>
        <v>0.27086997032165527</v>
      </c>
      <c r="AV191" s="3">
        <f t="shared" si="166"/>
        <v>270.86997032165527</v>
      </c>
      <c r="AX191" s="4">
        <f>1628875103.81006-1628875103.5344</f>
        <v>0.27566003799438477</v>
      </c>
      <c r="AY191" s="3">
        <f t="shared" si="167"/>
        <v>275.66003799438477</v>
      </c>
    </row>
    <row r="192" spans="2:51" x14ac:dyDescent="0.3">
      <c r="B192" s="4">
        <f>1628869654.10934-1628869654.10327</f>
        <v>6.0698986053466797E-3</v>
      </c>
      <c r="C192" s="3">
        <f t="shared" si="153"/>
        <v>6.0698986053466797</v>
      </c>
      <c r="E192" s="4">
        <f>1628869654.10928-1628869654.10327</f>
        <v>6.0100555419921875E-3</v>
      </c>
      <c r="F192" s="3">
        <f t="shared" si="154"/>
        <v>6.0100555419921875</v>
      </c>
      <c r="H192" s="4">
        <f>1628869654.10943-1628869654.10327</f>
        <v>6.1600208282470703E-3</v>
      </c>
      <c r="I192" s="3">
        <f t="shared" si="155"/>
        <v>6.1600208282470703</v>
      </c>
      <c r="K192" s="4">
        <f>1628869654.11015-1628869654.10327</f>
        <v>6.8800449371337891E-3</v>
      </c>
      <c r="L192" s="3">
        <f t="shared" si="156"/>
        <v>6.8800449371337891</v>
      </c>
      <c r="N192" s="4">
        <f>1628869654.10976-1628869654.10327</f>
        <v>6.4899921417236328E-3</v>
      </c>
      <c r="O192" s="3">
        <f t="shared" si="157"/>
        <v>6.4899921417236328</v>
      </c>
      <c r="T192" s="4">
        <f>1628873568.13925-1628873567.88822</f>
        <v>0.25102996826171875</v>
      </c>
      <c r="U192" s="3">
        <f t="shared" si="158"/>
        <v>251.02996826171875</v>
      </c>
      <c r="W192" s="4">
        <f>1628873568.14366-1628873567.88822</f>
        <v>0.25543999671936035</v>
      </c>
      <c r="X192" s="3">
        <f t="shared" si="159"/>
        <v>255.43999671936035</v>
      </c>
      <c r="Z192" s="4">
        <f>1628873568.14755-1628873567.88822</f>
        <v>0.25933003425598145</v>
      </c>
      <c r="AA192" s="3">
        <f t="shared" si="160"/>
        <v>259.33003425598145</v>
      </c>
      <c r="AC192" s="4">
        <f>1628873568.15012-1628873567.88822</f>
        <v>0.26189994812011719</v>
      </c>
      <c r="AD192" s="3">
        <f t="shared" si="161"/>
        <v>261.89994812011719</v>
      </c>
      <c r="AF192" s="4">
        <f>1628873568.15256-1628873567.88822</f>
        <v>0.26433992385864258</v>
      </c>
      <c r="AG192" s="3">
        <f t="shared" si="162"/>
        <v>264.33992385864258</v>
      </c>
      <c r="AL192" s="4">
        <f>1628875105.05924-1628875104.81043</f>
        <v>0.2488100528717041</v>
      </c>
      <c r="AM192" s="3">
        <f t="shared" si="163"/>
        <v>248.8100528717041</v>
      </c>
      <c r="AO192" s="4">
        <f>1628875105.06361-1628875104.81043</f>
        <v>0.25318002700805664</v>
      </c>
      <c r="AP192" s="3">
        <f t="shared" si="164"/>
        <v>253.18002700805664</v>
      </c>
      <c r="AR192" s="4">
        <f>1628875105.06707-1628875104.81043</f>
        <v>0.25663995742797852</v>
      </c>
      <c r="AS192" s="3">
        <f t="shared" si="165"/>
        <v>256.63995742797852</v>
      </c>
      <c r="AU192" s="4">
        <f>1628875105.07157-1628875104.81043</f>
        <v>0.26113986968994141</v>
      </c>
      <c r="AV192" s="3">
        <f t="shared" si="166"/>
        <v>261.13986968994141</v>
      </c>
      <c r="AX192" s="4">
        <f>1628875105.07607-1628875104.81043</f>
        <v>0.2656400203704834</v>
      </c>
      <c r="AY192" s="3">
        <f t="shared" si="167"/>
        <v>265.6400203704834</v>
      </c>
    </row>
    <row r="193" spans="2:51" x14ac:dyDescent="0.3">
      <c r="B193" s="4">
        <f>1628869655.11661-1628869655.11052</f>
        <v>6.0901641845703125E-3</v>
      </c>
      <c r="C193" s="3">
        <f t="shared" si="153"/>
        <v>6.0901641845703125</v>
      </c>
      <c r="E193" s="4">
        <f>1628869655.11667-1628869655.11052</f>
        <v>6.1500072479248047E-3</v>
      </c>
      <c r="F193" s="3">
        <f t="shared" si="154"/>
        <v>6.1500072479248047</v>
      </c>
      <c r="H193" s="4">
        <f>1628869655.11669-1628869655.11052</f>
        <v>6.1700344085693359E-3</v>
      </c>
      <c r="I193" s="3">
        <f t="shared" si="155"/>
        <v>6.1700344085693359</v>
      </c>
      <c r="K193" s="4">
        <f>1628869655.11768-1628869655.11052</f>
        <v>7.160186767578125E-3</v>
      </c>
      <c r="L193" s="3">
        <f t="shared" si="156"/>
        <v>7.160186767578125</v>
      </c>
      <c r="N193" s="4">
        <f>1628869655.11745-1628869655.11052</f>
        <v>6.9301128387451172E-3</v>
      </c>
      <c r="O193" s="3">
        <f t="shared" si="157"/>
        <v>6.9301128387451172</v>
      </c>
      <c r="T193" s="4">
        <f>1628873569.40201-1628873569.15379</f>
        <v>0.24821996688842773</v>
      </c>
      <c r="U193" s="3">
        <f t="shared" si="158"/>
        <v>248.21996688842773</v>
      </c>
      <c r="W193" s="4">
        <f>1628873569.40645-1628873569.15379</f>
        <v>0.25266003608703613</v>
      </c>
      <c r="X193" s="3">
        <f t="shared" si="159"/>
        <v>252.66003608703613</v>
      </c>
      <c r="Z193" s="4">
        <f>1628873569.41119-1628873569.15379</f>
        <v>0.2574000358581543</v>
      </c>
      <c r="AA193" s="3">
        <f t="shared" si="160"/>
        <v>257.4000358581543</v>
      </c>
      <c r="AC193" s="4">
        <f>1628873569.41547-1628873569.15379</f>
        <v>0.26167988777160645</v>
      </c>
      <c r="AD193" s="3">
        <f t="shared" si="161"/>
        <v>261.67988777160645</v>
      </c>
      <c r="AF193" s="4">
        <f>1628873569.42008-1628873569.15379</f>
        <v>0.26628994941711426</v>
      </c>
      <c r="AG193" s="3">
        <f t="shared" si="162"/>
        <v>266.28994941711426</v>
      </c>
      <c r="AL193" s="4">
        <f>1628875106.32471-1628875106.07662</f>
        <v>0.24808979034423828</v>
      </c>
      <c r="AM193" s="3">
        <f t="shared" si="163"/>
        <v>248.08979034423828</v>
      </c>
      <c r="AO193" s="4">
        <f>1628875106.32901-1628875106.07662</f>
        <v>0.25238990783691406</v>
      </c>
      <c r="AP193" s="3">
        <f t="shared" si="164"/>
        <v>252.38990783691406</v>
      </c>
      <c r="AR193" s="4">
        <f>1628875106.33276-1628875106.07662</f>
        <v>0.25613999366760254</v>
      </c>
      <c r="AS193" s="3">
        <f t="shared" si="165"/>
        <v>256.13999366760254</v>
      </c>
      <c r="AU193" s="4">
        <f>1628875106.33679-1628875106.07662</f>
        <v>0.26016998291015625</v>
      </c>
      <c r="AV193" s="3">
        <f t="shared" si="166"/>
        <v>260.16998291015625</v>
      </c>
      <c r="AX193" s="4">
        <f>1628875106.34162-1628875106.07662</f>
        <v>0.2649998664855957</v>
      </c>
      <c r="AY193" s="3">
        <f t="shared" si="167"/>
        <v>264.9998664855957</v>
      </c>
    </row>
    <row r="194" spans="2:51" x14ac:dyDescent="0.3">
      <c r="B194" s="4">
        <f>1628869656.12396-1628869656.11783</f>
        <v>6.1299800872802734E-3</v>
      </c>
      <c r="C194" s="3">
        <f t="shared" si="153"/>
        <v>6.1299800872802734</v>
      </c>
      <c r="E194" s="4">
        <f>1628869656.1239-1628869656.11783</f>
        <v>6.0698986053466797E-3</v>
      </c>
      <c r="F194" s="3">
        <f t="shared" si="154"/>
        <v>6.0698986053466797</v>
      </c>
      <c r="H194" s="4">
        <f>1628869656.12399-1628869656.11783</f>
        <v>6.1600208282470703E-3</v>
      </c>
      <c r="I194" s="3">
        <f t="shared" si="155"/>
        <v>6.1600208282470703</v>
      </c>
      <c r="K194" s="4">
        <f>1628869656.12395-1628869656.11783</f>
        <v>6.1199665069580078E-3</v>
      </c>
      <c r="L194" s="3">
        <f t="shared" si="156"/>
        <v>6.1199665069580078</v>
      </c>
      <c r="N194" s="4">
        <f>1628869656.12456-1628869656.11783</f>
        <v>6.7300796508789063E-3</v>
      </c>
      <c r="O194" s="3">
        <f t="shared" si="157"/>
        <v>6.7300796508789063</v>
      </c>
      <c r="T194" s="4">
        <f>1628873570.67586-1628873570.42245</f>
        <v>0.25340986251831055</v>
      </c>
      <c r="U194" s="3">
        <f t="shared" si="158"/>
        <v>253.40986251831055</v>
      </c>
      <c r="W194" s="4">
        <f>1628873570.6805-1628873570.42245</f>
        <v>0.25804996490478516</v>
      </c>
      <c r="X194" s="3">
        <f t="shared" si="159"/>
        <v>258.04996490478516</v>
      </c>
      <c r="Z194" s="4">
        <f>1628873570.68351-1628873570.42245</f>
        <v>0.26105999946594238</v>
      </c>
      <c r="AA194" s="3">
        <f t="shared" si="160"/>
        <v>261.05999946594238</v>
      </c>
      <c r="AC194" s="4">
        <f>1628873570.68754-1628873570.42245</f>
        <v>0.26508998870849609</v>
      </c>
      <c r="AD194" s="3">
        <f t="shared" si="161"/>
        <v>265.08998870849609</v>
      </c>
      <c r="AF194" s="4">
        <f>1628873570.69201-1628873570.42245</f>
        <v>0.26955986022949219</v>
      </c>
      <c r="AG194" s="3">
        <f t="shared" si="162"/>
        <v>269.55986022949219</v>
      </c>
      <c r="AL194" s="4">
        <f>1628875107.59223-1628875107.34241</f>
        <v>0.24981999397277832</v>
      </c>
      <c r="AM194" s="3">
        <f t="shared" si="163"/>
        <v>249.81999397277832</v>
      </c>
      <c r="AO194" s="4">
        <f>1628875107.59645-1628875107.34241</f>
        <v>0.25404000282287598</v>
      </c>
      <c r="AP194" s="3">
        <f t="shared" si="164"/>
        <v>254.04000282287598</v>
      </c>
      <c r="AR194" s="4">
        <f>1628875107.60035-1628875107.34241</f>
        <v>0.25793981552124023</v>
      </c>
      <c r="AS194" s="3">
        <f t="shared" si="165"/>
        <v>257.93981552124023</v>
      </c>
      <c r="AU194" s="4">
        <f>1628875107.60379-1628875107.34241</f>
        <v>0.26137995719909668</v>
      </c>
      <c r="AV194" s="3">
        <f t="shared" si="166"/>
        <v>261.37995719909668</v>
      </c>
      <c r="AX194" s="4">
        <f>1628875107.60866-1628875107.34241</f>
        <v>0.2662498950958252</v>
      </c>
      <c r="AY194" s="3">
        <f t="shared" si="167"/>
        <v>266.2498950958252</v>
      </c>
    </row>
    <row r="195" spans="2:51" x14ac:dyDescent="0.3">
      <c r="B195" s="4">
        <f>1628869657.13122-1628869657.12504</f>
        <v>6.1800479888916016E-3</v>
      </c>
      <c r="C195" s="3">
        <f t="shared" si="153"/>
        <v>6.1800479888916016</v>
      </c>
      <c r="E195" s="4">
        <f>1628869657.1311-1628869657.12504</f>
        <v>6.0598850250244141E-3</v>
      </c>
      <c r="F195" s="3">
        <f t="shared" si="154"/>
        <v>6.0598850250244141</v>
      </c>
      <c r="H195" s="4">
        <f>1628869657.13129-1628869657.12504</f>
        <v>6.2499046325683594E-3</v>
      </c>
      <c r="I195" s="3">
        <f t="shared" si="155"/>
        <v>6.2499046325683594</v>
      </c>
      <c r="K195" s="4">
        <f>1628869657.13185-1628869657.12504</f>
        <v>6.8099498748779297E-3</v>
      </c>
      <c r="L195" s="3">
        <f t="shared" si="156"/>
        <v>6.8099498748779297</v>
      </c>
      <c r="N195" s="4">
        <f>1628869657.13649-1628869657.12504</f>
        <v>1.1450052261352539E-2</v>
      </c>
      <c r="O195" s="3">
        <f t="shared" si="157"/>
        <v>11.450052261352539</v>
      </c>
      <c r="T195" s="4">
        <f>1628873571.9408-1628873571.69399</f>
        <v>0.24680995941162109</v>
      </c>
      <c r="U195" s="3">
        <f t="shared" si="158"/>
        <v>246.80995941162109</v>
      </c>
      <c r="W195" s="4">
        <f>1628873571.94473-1628873571.69399</f>
        <v>0.25074005126953125</v>
      </c>
      <c r="X195" s="3">
        <f t="shared" si="159"/>
        <v>250.74005126953125</v>
      </c>
      <c r="Z195" s="4">
        <f>1628873571.94862-1628873571.69399</f>
        <v>0.25463008880615234</v>
      </c>
      <c r="AA195" s="3">
        <f t="shared" si="160"/>
        <v>254.63008880615234</v>
      </c>
      <c r="AC195" s="4">
        <f>1628873571.95182-1628873571.69399</f>
        <v>0.25782990455627441</v>
      </c>
      <c r="AD195" s="3">
        <f t="shared" si="161"/>
        <v>257.82990455627441</v>
      </c>
      <c r="AF195" s="4">
        <f>1628873571.95586-1628873571.69399</f>
        <v>0.26186990737915039</v>
      </c>
      <c r="AG195" s="3">
        <f t="shared" si="162"/>
        <v>261.86990737915039</v>
      </c>
      <c r="AL195" s="4">
        <f>1628875108.86649-1628875108.6092</f>
        <v>0.25728988647460938</v>
      </c>
      <c r="AM195" s="3">
        <f t="shared" si="163"/>
        <v>257.28988647460938</v>
      </c>
      <c r="AO195" s="4">
        <f>1628875108.87075-1628875108.6092</f>
        <v>0.26154994964599609</v>
      </c>
      <c r="AP195" s="3">
        <f t="shared" si="164"/>
        <v>261.54994964599609</v>
      </c>
      <c r="AR195" s="4">
        <f>1628875108.87536-1628875108.6092</f>
        <v>0.26616001129150391</v>
      </c>
      <c r="AS195" s="3">
        <f t="shared" si="165"/>
        <v>266.16001129150391</v>
      </c>
      <c r="AU195" s="4">
        <f>1628875108.87928-1628875108.6092</f>
        <v>0.2700800895690918</v>
      </c>
      <c r="AV195" s="3">
        <f t="shared" si="166"/>
        <v>270.0800895690918</v>
      </c>
      <c r="AX195" s="4">
        <f>1628875108.88423-1628875108.6092</f>
        <v>0.27502989768981934</v>
      </c>
      <c r="AY195" s="3">
        <f t="shared" si="167"/>
        <v>275.02989768981934</v>
      </c>
    </row>
    <row r="196" spans="2:51" x14ac:dyDescent="0.3">
      <c r="C196" s="2">
        <f>AVERAGE(C186:C195)</f>
        <v>6.0100078582763672</v>
      </c>
      <c r="F196" s="2">
        <f>AVERAGE(F186:F195)</f>
        <v>6.0060024261474609</v>
      </c>
      <c r="I196" s="2">
        <f>AVERAGE(I186:I195)</f>
        <v>6.1410188674926758</v>
      </c>
      <c r="L196" s="2">
        <f>AVERAGE(L186:L195)</f>
        <v>6.6600322723388672</v>
      </c>
      <c r="O196" s="2">
        <f>AVERAGE(O186:O195)</f>
        <v>7.2050333023071289</v>
      </c>
      <c r="U196" s="2">
        <f>AVERAGE(U186:U195)</f>
        <v>245.09897232055664</v>
      </c>
      <c r="X196" s="2">
        <f>AVERAGE(X186:X195)</f>
        <v>249.48997497558594</v>
      </c>
      <c r="AA196" s="2">
        <f>AVERAGE(AA186:AA195)</f>
        <v>253.42800617218018</v>
      </c>
      <c r="AD196" s="2">
        <f>AVERAGE(AD186:AD195)</f>
        <v>257.10797309875488</v>
      </c>
      <c r="AG196" s="2">
        <f>AVERAGE(AG186:AG195)</f>
        <v>261.13996505737305</v>
      </c>
      <c r="AM196" s="2">
        <f>AVERAGE(AM186:AM195)</f>
        <v>250.8779764175415</v>
      </c>
      <c r="AP196" s="2">
        <f>AVERAGE(AP186:AP195)</f>
        <v>255.12998104095459</v>
      </c>
      <c r="AS196" s="2">
        <f>AVERAGE(AS186:AS195)</f>
        <v>259.01393890380859</v>
      </c>
      <c r="AV196" s="2">
        <f>AVERAGE(AV186:AV195)</f>
        <v>262.82200813293457</v>
      </c>
      <c r="AY196" s="2">
        <f>AVERAGE(AY186:AY195)</f>
        <v>267.36197471618652</v>
      </c>
    </row>
  </sheetData>
  <mergeCells count="321">
    <mergeCell ref="AL184:AM184"/>
    <mergeCell ref="AO184:AP184"/>
    <mergeCell ref="AR184:AS184"/>
    <mergeCell ref="AU184:AV184"/>
    <mergeCell ref="AX184:AY184"/>
    <mergeCell ref="AL183:AM183"/>
    <mergeCell ref="AO183:AP183"/>
    <mergeCell ref="AR183:AS183"/>
    <mergeCell ref="AU183:AV183"/>
    <mergeCell ref="AX183:AY183"/>
    <mergeCell ref="AL169:AM169"/>
    <mergeCell ref="AO169:AP169"/>
    <mergeCell ref="AR169:AS169"/>
    <mergeCell ref="AU169:AV169"/>
    <mergeCell ref="AX169:AY169"/>
    <mergeCell ref="AL168:AM168"/>
    <mergeCell ref="AO168:AP168"/>
    <mergeCell ref="AR168:AS168"/>
    <mergeCell ref="AU168:AV168"/>
    <mergeCell ref="AX168:AY168"/>
    <mergeCell ref="AL154:AM154"/>
    <mergeCell ref="AO154:AP154"/>
    <mergeCell ref="AR154:AS154"/>
    <mergeCell ref="AU154:AV154"/>
    <mergeCell ref="AX154:AY154"/>
    <mergeCell ref="AL153:AM153"/>
    <mergeCell ref="AO153:AP153"/>
    <mergeCell ref="AR153:AS153"/>
    <mergeCell ref="AU153:AV153"/>
    <mergeCell ref="AX153:AY153"/>
    <mergeCell ref="AL139:AM139"/>
    <mergeCell ref="AO139:AP139"/>
    <mergeCell ref="AR139:AS139"/>
    <mergeCell ref="AU139:AV139"/>
    <mergeCell ref="AX139:AY139"/>
    <mergeCell ref="AL138:AM138"/>
    <mergeCell ref="AO138:AP138"/>
    <mergeCell ref="AR138:AS138"/>
    <mergeCell ref="AU138:AV138"/>
    <mergeCell ref="AX138:AY138"/>
    <mergeCell ref="AL124:AM124"/>
    <mergeCell ref="AO124:AP124"/>
    <mergeCell ref="AR124:AS124"/>
    <mergeCell ref="AU124:AV124"/>
    <mergeCell ref="AX124:AY124"/>
    <mergeCell ref="AL123:AM123"/>
    <mergeCell ref="AO123:AP123"/>
    <mergeCell ref="AR123:AS123"/>
    <mergeCell ref="AU123:AV123"/>
    <mergeCell ref="AX123:AY123"/>
    <mergeCell ref="AL109:AM109"/>
    <mergeCell ref="AO109:AP109"/>
    <mergeCell ref="AR109:AS109"/>
    <mergeCell ref="AU109:AV109"/>
    <mergeCell ref="AX109:AY109"/>
    <mergeCell ref="AL108:AM108"/>
    <mergeCell ref="AO108:AP108"/>
    <mergeCell ref="AR108:AS108"/>
    <mergeCell ref="AU108:AV108"/>
    <mergeCell ref="AX108:AY108"/>
    <mergeCell ref="AL94:AM94"/>
    <mergeCell ref="AO94:AP94"/>
    <mergeCell ref="AR94:AS94"/>
    <mergeCell ref="AU94:AV94"/>
    <mergeCell ref="AX94:AY94"/>
    <mergeCell ref="AL93:AM93"/>
    <mergeCell ref="AO93:AP93"/>
    <mergeCell ref="AR93:AS93"/>
    <mergeCell ref="AU93:AV93"/>
    <mergeCell ref="AX93:AY93"/>
    <mergeCell ref="AL79:AM79"/>
    <mergeCell ref="AO79:AP79"/>
    <mergeCell ref="AR79:AS79"/>
    <mergeCell ref="AU79:AV79"/>
    <mergeCell ref="AX79:AY79"/>
    <mergeCell ref="AL78:AM78"/>
    <mergeCell ref="AO78:AP78"/>
    <mergeCell ref="AR78:AS78"/>
    <mergeCell ref="AU78:AV78"/>
    <mergeCell ref="AX78:AY78"/>
    <mergeCell ref="AL64:AM64"/>
    <mergeCell ref="AO64:AP64"/>
    <mergeCell ref="AR64:AS64"/>
    <mergeCell ref="AU64:AV64"/>
    <mergeCell ref="AX64:AY64"/>
    <mergeCell ref="AL63:AM63"/>
    <mergeCell ref="AO63:AP63"/>
    <mergeCell ref="AR63:AS63"/>
    <mergeCell ref="AU63:AV63"/>
    <mergeCell ref="AX63:AY63"/>
    <mergeCell ref="AL49:AM49"/>
    <mergeCell ref="AO49:AP49"/>
    <mergeCell ref="AR49:AS49"/>
    <mergeCell ref="AU49:AV49"/>
    <mergeCell ref="AX49:AY49"/>
    <mergeCell ref="AL48:AM48"/>
    <mergeCell ref="AO48:AP48"/>
    <mergeCell ref="AR48:AS48"/>
    <mergeCell ref="AU48:AV48"/>
    <mergeCell ref="AX48:AY48"/>
    <mergeCell ref="T184:U184"/>
    <mergeCell ref="W184:X184"/>
    <mergeCell ref="Z184:AA184"/>
    <mergeCell ref="AC184:AD184"/>
    <mergeCell ref="AF184:AG184"/>
    <mergeCell ref="T183:U183"/>
    <mergeCell ref="W183:X183"/>
    <mergeCell ref="Z183:AA183"/>
    <mergeCell ref="AC183:AD183"/>
    <mergeCell ref="AF183:AG183"/>
    <mergeCell ref="T169:U169"/>
    <mergeCell ref="W169:X169"/>
    <mergeCell ref="Z169:AA169"/>
    <mergeCell ref="AC169:AD169"/>
    <mergeCell ref="AF169:AG169"/>
    <mergeCell ref="T168:U168"/>
    <mergeCell ref="W168:X168"/>
    <mergeCell ref="Z168:AA168"/>
    <mergeCell ref="AC168:AD168"/>
    <mergeCell ref="AF168:AG168"/>
    <mergeCell ref="T154:U154"/>
    <mergeCell ref="W154:X154"/>
    <mergeCell ref="Z154:AA154"/>
    <mergeCell ref="AC154:AD154"/>
    <mergeCell ref="AF154:AG154"/>
    <mergeCell ref="T153:U153"/>
    <mergeCell ref="W153:X153"/>
    <mergeCell ref="Z153:AA153"/>
    <mergeCell ref="AC153:AD153"/>
    <mergeCell ref="AF153:AG153"/>
    <mergeCell ref="T139:U139"/>
    <mergeCell ref="W139:X139"/>
    <mergeCell ref="Z139:AA139"/>
    <mergeCell ref="AC139:AD139"/>
    <mergeCell ref="AF139:AG139"/>
    <mergeCell ref="T138:U138"/>
    <mergeCell ref="W138:X138"/>
    <mergeCell ref="Z138:AA138"/>
    <mergeCell ref="AC138:AD138"/>
    <mergeCell ref="AF138:AG138"/>
    <mergeCell ref="T124:U124"/>
    <mergeCell ref="W124:X124"/>
    <mergeCell ref="Z124:AA124"/>
    <mergeCell ref="AC124:AD124"/>
    <mergeCell ref="AF124:AG124"/>
    <mergeCell ref="T123:U123"/>
    <mergeCell ref="W123:X123"/>
    <mergeCell ref="Z123:AA123"/>
    <mergeCell ref="AC123:AD123"/>
    <mergeCell ref="AF123:AG123"/>
    <mergeCell ref="T109:U109"/>
    <mergeCell ref="W109:X109"/>
    <mergeCell ref="Z109:AA109"/>
    <mergeCell ref="AC109:AD109"/>
    <mergeCell ref="AF109:AG109"/>
    <mergeCell ref="T108:U108"/>
    <mergeCell ref="W108:X108"/>
    <mergeCell ref="Z108:AA108"/>
    <mergeCell ref="AC108:AD108"/>
    <mergeCell ref="AF108:AG108"/>
    <mergeCell ref="T94:U94"/>
    <mergeCell ref="W94:X94"/>
    <mergeCell ref="Z94:AA94"/>
    <mergeCell ref="AC94:AD94"/>
    <mergeCell ref="AF94:AG94"/>
    <mergeCell ref="T93:U93"/>
    <mergeCell ref="W93:X93"/>
    <mergeCell ref="Z93:AA93"/>
    <mergeCell ref="AC93:AD93"/>
    <mergeCell ref="AF93:AG93"/>
    <mergeCell ref="T79:U79"/>
    <mergeCell ref="W79:X79"/>
    <mergeCell ref="Z79:AA79"/>
    <mergeCell ref="AC79:AD79"/>
    <mergeCell ref="AF79:AG79"/>
    <mergeCell ref="T78:U78"/>
    <mergeCell ref="W78:X78"/>
    <mergeCell ref="Z78:AA78"/>
    <mergeCell ref="AC78:AD78"/>
    <mergeCell ref="AF78:AG78"/>
    <mergeCell ref="T64:U64"/>
    <mergeCell ref="W64:X64"/>
    <mergeCell ref="Z64:AA64"/>
    <mergeCell ref="AC64:AD64"/>
    <mergeCell ref="AF64:AG64"/>
    <mergeCell ref="T63:U63"/>
    <mergeCell ref="W63:X63"/>
    <mergeCell ref="Z63:AA63"/>
    <mergeCell ref="AC63:AD63"/>
    <mergeCell ref="AF63:AG63"/>
    <mergeCell ref="Z48:AA48"/>
    <mergeCell ref="AC48:AD48"/>
    <mergeCell ref="AF48:AG48"/>
    <mergeCell ref="T49:U49"/>
    <mergeCell ref="W49:X49"/>
    <mergeCell ref="Z49:AA49"/>
    <mergeCell ref="AC49:AD49"/>
    <mergeCell ref="AF49:AG49"/>
    <mergeCell ref="B184:C184"/>
    <mergeCell ref="E184:F184"/>
    <mergeCell ref="H184:I184"/>
    <mergeCell ref="K184:L184"/>
    <mergeCell ref="N184:O184"/>
    <mergeCell ref="B183:C183"/>
    <mergeCell ref="E183:F183"/>
    <mergeCell ref="H183:I183"/>
    <mergeCell ref="K183:L183"/>
    <mergeCell ref="N183:O183"/>
    <mergeCell ref="B169:C169"/>
    <mergeCell ref="E169:F169"/>
    <mergeCell ref="H169:I169"/>
    <mergeCell ref="K169:L169"/>
    <mergeCell ref="N169:O169"/>
    <mergeCell ref="B168:C168"/>
    <mergeCell ref="E168:F168"/>
    <mergeCell ref="H168:I168"/>
    <mergeCell ref="K168:L168"/>
    <mergeCell ref="N168:O168"/>
    <mergeCell ref="B154:C154"/>
    <mergeCell ref="E154:F154"/>
    <mergeCell ref="H154:I154"/>
    <mergeCell ref="K154:L154"/>
    <mergeCell ref="N154:O154"/>
    <mergeCell ref="B153:C153"/>
    <mergeCell ref="E153:F153"/>
    <mergeCell ref="H153:I153"/>
    <mergeCell ref="K153:L153"/>
    <mergeCell ref="N153:O153"/>
    <mergeCell ref="B139:C139"/>
    <mergeCell ref="E139:F139"/>
    <mergeCell ref="H139:I139"/>
    <mergeCell ref="K139:L139"/>
    <mergeCell ref="N139:O139"/>
    <mergeCell ref="B138:C138"/>
    <mergeCell ref="E138:F138"/>
    <mergeCell ref="H138:I138"/>
    <mergeCell ref="K138:L138"/>
    <mergeCell ref="N138:O138"/>
    <mergeCell ref="B124:C124"/>
    <mergeCell ref="E124:F124"/>
    <mergeCell ref="H124:I124"/>
    <mergeCell ref="K124:L124"/>
    <mergeCell ref="N124:O124"/>
    <mergeCell ref="B123:C123"/>
    <mergeCell ref="E123:F123"/>
    <mergeCell ref="H123:I123"/>
    <mergeCell ref="K123:L123"/>
    <mergeCell ref="N123:O123"/>
    <mergeCell ref="B109:C109"/>
    <mergeCell ref="E109:F109"/>
    <mergeCell ref="H109:I109"/>
    <mergeCell ref="K109:L109"/>
    <mergeCell ref="N109:O109"/>
    <mergeCell ref="B108:C108"/>
    <mergeCell ref="E108:F108"/>
    <mergeCell ref="H108:I108"/>
    <mergeCell ref="K108:L108"/>
    <mergeCell ref="N108:O108"/>
    <mergeCell ref="B94:C94"/>
    <mergeCell ref="E94:F94"/>
    <mergeCell ref="H94:I94"/>
    <mergeCell ref="K94:L94"/>
    <mergeCell ref="N94:O94"/>
    <mergeCell ref="B93:C93"/>
    <mergeCell ref="E93:F93"/>
    <mergeCell ref="H93:I93"/>
    <mergeCell ref="K93:L93"/>
    <mergeCell ref="N93:O93"/>
    <mergeCell ref="B79:C79"/>
    <mergeCell ref="E79:F79"/>
    <mergeCell ref="H79:I79"/>
    <mergeCell ref="K79:L79"/>
    <mergeCell ref="N79:O79"/>
    <mergeCell ref="B78:C78"/>
    <mergeCell ref="E78:F78"/>
    <mergeCell ref="H78:I78"/>
    <mergeCell ref="K78:L78"/>
    <mergeCell ref="N78:O78"/>
    <mergeCell ref="B64:C64"/>
    <mergeCell ref="E64:F64"/>
    <mergeCell ref="H64:I64"/>
    <mergeCell ref="K64:L64"/>
    <mergeCell ref="N64:O64"/>
    <mergeCell ref="B63:C63"/>
    <mergeCell ref="E63:F63"/>
    <mergeCell ref="H63:I63"/>
    <mergeCell ref="K63:L63"/>
    <mergeCell ref="N63:O63"/>
    <mergeCell ref="B49:C49"/>
    <mergeCell ref="B48:C48"/>
    <mergeCell ref="E48:F48"/>
    <mergeCell ref="E49:F49"/>
    <mergeCell ref="H48:I48"/>
    <mergeCell ref="H49:I49"/>
    <mergeCell ref="K48:L48"/>
    <mergeCell ref="K49:L49"/>
    <mergeCell ref="N49:O49"/>
    <mergeCell ref="T48:U48"/>
    <mergeCell ref="W48:X48"/>
    <mergeCell ref="A46:AY46"/>
    <mergeCell ref="A1:W1"/>
    <mergeCell ref="A31:W31"/>
    <mergeCell ref="A32:B32"/>
    <mergeCell ref="D32:E32"/>
    <mergeCell ref="G32:H32"/>
    <mergeCell ref="J32:K32"/>
    <mergeCell ref="M32:N32"/>
    <mergeCell ref="P32:Q32"/>
    <mergeCell ref="S32:T32"/>
    <mergeCell ref="V32:W32"/>
    <mergeCell ref="P2:Q2"/>
    <mergeCell ref="A2:B2"/>
    <mergeCell ref="D2:E2"/>
    <mergeCell ref="G2:H2"/>
    <mergeCell ref="J2:K2"/>
    <mergeCell ref="M2:N2"/>
    <mergeCell ref="M17:N17"/>
    <mergeCell ref="P17:Q17"/>
    <mergeCell ref="S17:T17"/>
    <mergeCell ref="V17:W17"/>
    <mergeCell ref="N48:O4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6B0A-1D64-4F2A-8719-4C46D55BB409}">
  <dimension ref="A1:AY166"/>
  <sheetViews>
    <sheetView zoomScale="55" zoomScaleNormal="55" workbookViewId="0">
      <selection activeCell="A16" sqref="A16:AF16"/>
    </sheetView>
  </sheetViews>
  <sheetFormatPr defaultRowHeight="14.4" x14ac:dyDescent="0.3"/>
  <sheetData>
    <row r="1" spans="1:51" ht="23.4" x14ac:dyDescent="0.45">
      <c r="A1" s="7" t="s">
        <v>64</v>
      </c>
      <c r="B1" s="7"/>
      <c r="C1" s="7"/>
      <c r="D1" s="7"/>
      <c r="E1" s="7"/>
      <c r="F1" s="7"/>
      <c r="G1" s="7"/>
      <c r="H1" s="7"/>
      <c r="I1" s="7"/>
      <c r="J1" s="7"/>
      <c r="K1" s="7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51" ht="44.4" customHeight="1" x14ac:dyDescent="0.3">
      <c r="A2" s="9" t="s">
        <v>8</v>
      </c>
      <c r="B2" s="9"/>
      <c r="D2" s="9" t="s">
        <v>10</v>
      </c>
      <c r="E2" s="9"/>
      <c r="G2" s="9" t="s">
        <v>9</v>
      </c>
      <c r="H2" s="9"/>
      <c r="J2" s="9" t="s">
        <v>11</v>
      </c>
      <c r="K2" s="9"/>
    </row>
    <row r="3" spans="1:51" x14ac:dyDescent="0.3">
      <c r="A3" s="1" t="s">
        <v>1</v>
      </c>
      <c r="B3" s="1" t="s">
        <v>0</v>
      </c>
      <c r="D3" s="1" t="s">
        <v>1</v>
      </c>
      <c r="E3" s="1" t="s">
        <v>0</v>
      </c>
      <c r="G3" s="1" t="s">
        <v>1</v>
      </c>
      <c r="H3" s="1" t="s">
        <v>0</v>
      </c>
      <c r="J3" s="1" t="s">
        <v>1</v>
      </c>
      <c r="K3" s="1" t="s">
        <v>0</v>
      </c>
    </row>
    <row r="4" spans="1:51" x14ac:dyDescent="0.3">
      <c r="A4" s="4">
        <f>1629126898.25034-1629126898.18421</f>
        <v>6.6129922866821289E-2</v>
      </c>
      <c r="B4" s="3">
        <f>A4*1000</f>
        <v>66.129922866821289</v>
      </c>
      <c r="D4" s="4">
        <f>1629127015.16216-1629127015.09404</f>
        <v>6.8120002746582031E-2</v>
      </c>
      <c r="E4" s="3">
        <f>D4*1000</f>
        <v>68.120002746582031</v>
      </c>
      <c r="G4" s="4">
        <f>1629126980.17456-1629126980.10521</f>
        <v>6.9350004196166992E-2</v>
      </c>
      <c r="H4" s="3">
        <f>G4*1000</f>
        <v>69.350004196166992</v>
      </c>
      <c r="J4" s="4">
        <f>1629127044.05053-1629127043.98011</f>
        <v>7.0420026779174805E-2</v>
      </c>
      <c r="K4" s="3">
        <f>J4*1000</f>
        <v>70.420026779174805</v>
      </c>
    </row>
    <row r="5" spans="1:51" x14ac:dyDescent="0.3">
      <c r="A5" s="4">
        <f>1629126899.32258-1629126899.25442</f>
        <v>6.8160057067871094E-2</v>
      </c>
      <c r="B5" s="3">
        <f t="shared" ref="B5:B13" si="0">A5*1000</f>
        <v>68.160057067871094</v>
      </c>
      <c r="D5" s="4">
        <f>1629127016.23442-1629127016.1663</f>
        <v>6.8120002746582031E-2</v>
      </c>
      <c r="E5" s="3">
        <f t="shared" ref="E5:E13" si="1">D5*1000</f>
        <v>68.120002746582031</v>
      </c>
      <c r="G5" s="4">
        <f>1629126981.2465-1629126981.17863</f>
        <v>6.7869901657104492E-2</v>
      </c>
      <c r="H5" s="3">
        <f t="shared" ref="H5:H13" si="2">G5*1000</f>
        <v>67.869901657104492</v>
      </c>
      <c r="J5" s="4">
        <f>1629127045.12663-1629127045.05462</f>
        <v>7.2010040283203125E-2</v>
      </c>
      <c r="K5" s="3">
        <f t="shared" ref="K5:K13" si="3">J5*1000</f>
        <v>72.010040283203125</v>
      </c>
    </row>
    <row r="6" spans="1:51" x14ac:dyDescent="0.3">
      <c r="A6" s="4">
        <f>1629126900.39464-1629126900.32671</f>
        <v>6.7929983139038086E-2</v>
      </c>
      <c r="B6" s="3">
        <f t="shared" si="0"/>
        <v>67.929983139038086</v>
      </c>
      <c r="D6" s="4">
        <f>1629127017.30662-1629127017.23829</f>
        <v>6.8329811096191406E-2</v>
      </c>
      <c r="E6" s="3">
        <f t="shared" si="1"/>
        <v>68.329811096191406</v>
      </c>
      <c r="G6" s="4">
        <f>1629126982.3186-1629126982.25041</f>
        <v>6.8189859390258789E-2</v>
      </c>
      <c r="H6" s="3">
        <f t="shared" si="2"/>
        <v>68.189859390258789</v>
      </c>
      <c r="J6" s="4">
        <f>1629127046.19876-1629127046.13046</f>
        <v>6.8300008773803711E-2</v>
      </c>
      <c r="K6" s="3">
        <f t="shared" si="3"/>
        <v>68.300008773803711</v>
      </c>
    </row>
    <row r="7" spans="1:51" x14ac:dyDescent="0.3">
      <c r="A7" s="4">
        <f>1629126901.46221-1629126901.39798</f>
        <v>6.4229965209960938E-2</v>
      </c>
      <c r="B7" s="3">
        <f t="shared" si="0"/>
        <v>64.229965209960938</v>
      </c>
      <c r="D7" s="4">
        <f>1629127018.37861-1629127018.31041</f>
        <v>6.8199872970581055E-2</v>
      </c>
      <c r="E7" s="3">
        <f t="shared" si="1"/>
        <v>68.199872970581055</v>
      </c>
      <c r="G7" s="4">
        <f>1629126983.39449-1629126983.32245</f>
        <v>7.2040081024169922E-2</v>
      </c>
      <c r="H7" s="3">
        <f t="shared" si="2"/>
        <v>72.040081024169922</v>
      </c>
      <c r="J7" s="4">
        <f>1629127047.27063-1629127047.20261</f>
        <v>6.8019866943359375E-2</v>
      </c>
      <c r="K7" s="3">
        <f t="shared" si="3"/>
        <v>68.019866943359375</v>
      </c>
    </row>
    <row r="8" spans="1:51" x14ac:dyDescent="0.3">
      <c r="A8" s="4">
        <f>1629126902.53444-1629126902.46565</f>
        <v>6.8789958953857422E-2</v>
      </c>
      <c r="B8" s="3">
        <f t="shared" si="0"/>
        <v>68.789958953857422</v>
      </c>
      <c r="D8" s="4">
        <f>1629127019.45061-1629127019.38244</f>
        <v>6.8169832229614258E-2</v>
      </c>
      <c r="E8" s="3">
        <f t="shared" si="1"/>
        <v>68.169832229614258</v>
      </c>
      <c r="G8" s="4">
        <f>1629126984.46621-1629126984.39829</f>
        <v>6.791996955871582E-2</v>
      </c>
      <c r="H8" s="3">
        <f t="shared" si="2"/>
        <v>67.91996955871582</v>
      </c>
      <c r="J8" s="4">
        <f>1629127048.34264-1629127048.2744</f>
        <v>6.8239927291870117E-2</v>
      </c>
      <c r="K8" s="3">
        <f t="shared" si="3"/>
        <v>68.239927291870117</v>
      </c>
    </row>
    <row r="9" spans="1:51" x14ac:dyDescent="0.3">
      <c r="A9" s="4">
        <f>1629126903.60672-1629126903.53816</f>
        <v>6.8559885025024414E-2</v>
      </c>
      <c r="B9" s="3">
        <f t="shared" si="0"/>
        <v>68.559885025024414</v>
      </c>
      <c r="D9" s="4">
        <f>1629127020.5229-1629127020.45386</f>
        <v>6.9040060043334961E-2</v>
      </c>
      <c r="E9" s="3">
        <f t="shared" si="1"/>
        <v>69.040060043334961</v>
      </c>
      <c r="G9" s="4">
        <f>1629126985.5379-1629126985.47007</f>
        <v>6.7830085754394531E-2</v>
      </c>
      <c r="H9" s="3">
        <f t="shared" si="2"/>
        <v>67.830085754394531</v>
      </c>
      <c r="J9" s="4">
        <f>1629127049.41448-1629127049.34644</f>
        <v>6.8039894104003906E-2</v>
      </c>
      <c r="K9" s="3">
        <f t="shared" si="3"/>
        <v>68.039894104003906</v>
      </c>
    </row>
    <row r="10" spans="1:51" x14ac:dyDescent="0.3">
      <c r="A10" s="4">
        <f>1629126904.67877-1629126904.61046</f>
        <v>6.8310022354125977E-2</v>
      </c>
      <c r="B10" s="3">
        <f t="shared" si="0"/>
        <v>68.310022354125977</v>
      </c>
      <c r="D10" s="4">
        <f>1629127021.59468-1629127021.52683</f>
        <v>6.7850112915039063E-2</v>
      </c>
      <c r="E10" s="3">
        <f t="shared" si="1"/>
        <v>67.850112915039063</v>
      </c>
      <c r="G10" s="4">
        <f>1629126986.61063-1629126986.5418</f>
        <v>6.8830013275146484E-2</v>
      </c>
      <c r="H10" s="3">
        <f t="shared" si="2"/>
        <v>68.830013275146484</v>
      </c>
      <c r="J10" s="4">
        <f>1629127050.48678-1629127050.41827</f>
        <v>6.8509817123413086E-2</v>
      </c>
      <c r="K10" s="3">
        <f t="shared" si="3"/>
        <v>68.509817123413086</v>
      </c>
    </row>
    <row r="11" spans="1:51" x14ac:dyDescent="0.3">
      <c r="A11" s="4">
        <f>1629126905.75064-1629126905.68251</f>
        <v>6.8130016326904297E-2</v>
      </c>
      <c r="B11" s="3">
        <f t="shared" si="0"/>
        <v>68.130016326904297</v>
      </c>
      <c r="D11" s="4">
        <f>1629127022.66282-1629127022.59748</f>
        <v>6.5340042114257813E-2</v>
      </c>
      <c r="E11" s="3">
        <f t="shared" si="1"/>
        <v>65.340042114257813</v>
      </c>
      <c r="G11" s="4">
        <f>1629126987.6823-1629126987.61437</f>
        <v>6.7929983139038086E-2</v>
      </c>
      <c r="H11" s="3">
        <f t="shared" si="2"/>
        <v>67.929983139038086</v>
      </c>
      <c r="J11" s="4">
        <f>1629127051.55864-1629127051.4906</f>
        <v>6.8039894104003906E-2</v>
      </c>
      <c r="K11" s="3">
        <f t="shared" si="3"/>
        <v>68.039894104003906</v>
      </c>
    </row>
    <row r="12" spans="1:51" x14ac:dyDescent="0.3">
      <c r="A12" s="4">
        <f>1629126906.82264-1629126906.75438</f>
        <v>6.8259954452514648E-2</v>
      </c>
      <c r="B12" s="3">
        <f t="shared" si="0"/>
        <v>68.259954452514648</v>
      </c>
      <c r="D12" s="4">
        <f>1629127023.73464-1629127023.66649</f>
        <v>6.8149805068969727E-2</v>
      </c>
      <c r="E12" s="3">
        <f t="shared" si="1"/>
        <v>68.149805068969727</v>
      </c>
      <c r="G12" s="4">
        <f>1629126988.75463-1629126988.68546</f>
        <v>6.9169998168945313E-2</v>
      </c>
      <c r="H12" s="3">
        <f t="shared" si="2"/>
        <v>69.169998168945313</v>
      </c>
      <c r="J12" s="4">
        <f>1629127052.63075-1629127052.56245</f>
        <v>6.8300008773803711E-2</v>
      </c>
      <c r="K12" s="3">
        <f t="shared" si="3"/>
        <v>68.300008773803711</v>
      </c>
    </row>
    <row r="13" spans="1:51" x14ac:dyDescent="0.3">
      <c r="A13" s="4">
        <f>1629126907.89458-1629126907.82631</f>
        <v>6.8269968032836914E-2</v>
      </c>
      <c r="B13" s="3">
        <f t="shared" si="0"/>
        <v>68.269968032836914</v>
      </c>
      <c r="D13" s="4">
        <f>1629127024.80658-1629127024.73826</f>
        <v>6.8320035934448242E-2</v>
      </c>
      <c r="E13" s="3">
        <f t="shared" si="1"/>
        <v>68.320035934448242</v>
      </c>
      <c r="G13" s="4">
        <f>1629126989.83046-1629126989.75848</f>
        <v>7.1979999542236328E-2</v>
      </c>
      <c r="H13" s="3">
        <f t="shared" si="2"/>
        <v>71.979999542236328</v>
      </c>
      <c r="J13" s="4">
        <f>1629127053.70213-1629127053.63413</f>
        <v>6.8000078201293945E-2</v>
      </c>
      <c r="K13" s="3">
        <f t="shared" si="3"/>
        <v>68.000078201293945</v>
      </c>
    </row>
    <row r="14" spans="1:51" x14ac:dyDescent="0.3">
      <c r="B14" s="2">
        <f>AVERAGE(B4:B13)</f>
        <v>67.676973342895508</v>
      </c>
      <c r="E14" s="2">
        <f>AVERAGE(E4:E13)</f>
        <v>67.963957786560059</v>
      </c>
      <c r="H14" s="2">
        <f>AVERAGE(H4:H13)</f>
        <v>69.110989570617676</v>
      </c>
      <c r="K14" s="2">
        <f>AVERAGE(K4:K13)</f>
        <v>68.787956237792969</v>
      </c>
    </row>
    <row r="16" spans="1:51" ht="23.4" x14ac:dyDescent="0.45">
      <c r="A16" s="7" t="s">
        <v>65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8" spans="1:32" x14ac:dyDescent="0.3">
      <c r="A18" s="6" t="s">
        <v>12</v>
      </c>
      <c r="B18" s="6"/>
      <c r="D18" s="6" t="s">
        <v>13</v>
      </c>
      <c r="E18" s="6"/>
      <c r="G18" s="6" t="s">
        <v>15</v>
      </c>
      <c r="H18" s="6"/>
      <c r="J18" s="6" t="s">
        <v>16</v>
      </c>
      <c r="K18" s="6"/>
      <c r="M18" s="6" t="s">
        <v>14</v>
      </c>
      <c r="N18" s="6"/>
      <c r="S18" s="6" t="s">
        <v>12</v>
      </c>
      <c r="T18" s="6"/>
      <c r="V18" s="6" t="s">
        <v>13</v>
      </c>
      <c r="W18" s="6"/>
      <c r="Y18" s="6" t="s">
        <v>15</v>
      </c>
      <c r="Z18" s="6"/>
      <c r="AB18" s="6" t="s">
        <v>16</v>
      </c>
      <c r="AC18" s="6"/>
      <c r="AE18" s="6" t="s">
        <v>14</v>
      </c>
      <c r="AF18" s="6"/>
    </row>
    <row r="19" spans="1:32" ht="45" customHeight="1" x14ac:dyDescent="0.3">
      <c r="A19" s="8" t="s">
        <v>62</v>
      </c>
      <c r="B19" s="8"/>
      <c r="D19" s="8" t="s">
        <v>62</v>
      </c>
      <c r="E19" s="8"/>
      <c r="G19" s="8" t="s">
        <v>62</v>
      </c>
      <c r="H19" s="8"/>
      <c r="J19" s="8" t="s">
        <v>62</v>
      </c>
      <c r="K19" s="8"/>
      <c r="M19" s="8" t="s">
        <v>62</v>
      </c>
      <c r="N19" s="8"/>
      <c r="S19" s="8" t="s">
        <v>63</v>
      </c>
      <c r="T19" s="8"/>
      <c r="V19" s="8" t="s">
        <v>63</v>
      </c>
      <c r="W19" s="8"/>
      <c r="Y19" s="8" t="s">
        <v>63</v>
      </c>
      <c r="Z19" s="8"/>
      <c r="AB19" s="8" t="s">
        <v>63</v>
      </c>
      <c r="AC19" s="8"/>
      <c r="AE19" s="8" t="s">
        <v>63</v>
      </c>
      <c r="AF19" s="8"/>
    </row>
    <row r="20" spans="1:32" x14ac:dyDescent="0.3">
      <c r="A20" s="1" t="s">
        <v>1</v>
      </c>
      <c r="B20" s="1" t="s">
        <v>0</v>
      </c>
      <c r="D20" s="1" t="s">
        <v>1</v>
      </c>
      <c r="E20" s="1" t="s">
        <v>0</v>
      </c>
      <c r="G20" s="1" t="s">
        <v>1</v>
      </c>
      <c r="H20" s="1" t="s">
        <v>0</v>
      </c>
      <c r="J20" s="1" t="s">
        <v>1</v>
      </c>
      <c r="K20" s="1" t="s">
        <v>0</v>
      </c>
      <c r="M20" s="1" t="s">
        <v>1</v>
      </c>
      <c r="N20" s="1" t="s">
        <v>0</v>
      </c>
      <c r="S20" s="1" t="s">
        <v>1</v>
      </c>
      <c r="T20" s="1" t="s">
        <v>0</v>
      </c>
      <c r="V20" s="1" t="s">
        <v>1</v>
      </c>
      <c r="W20" s="1" t="s">
        <v>0</v>
      </c>
      <c r="Y20" s="1" t="s">
        <v>1</v>
      </c>
      <c r="Z20" s="1" t="s">
        <v>0</v>
      </c>
      <c r="AB20" s="1" t="s">
        <v>1</v>
      </c>
      <c r="AC20" s="1" t="s">
        <v>0</v>
      </c>
      <c r="AE20" s="1" t="s">
        <v>1</v>
      </c>
      <c r="AF20" s="1" t="s">
        <v>0</v>
      </c>
    </row>
    <row r="21" spans="1:32" x14ac:dyDescent="0.3">
      <c r="A21" s="4">
        <f>1629129320.99382-1629129320.92265</f>
        <v>7.1169853210449219E-2</v>
      </c>
      <c r="B21" s="3">
        <f>A21*1000</f>
        <v>71.169853210449219</v>
      </c>
      <c r="D21" s="4">
        <f>1629129320.99493-1629129320.92265</f>
        <v>7.2279930114746094E-2</v>
      </c>
      <c r="E21" s="3">
        <f>D21*1000</f>
        <v>72.279930114746094</v>
      </c>
      <c r="G21" s="4">
        <f>1629129320.99468-1629129320.92265</f>
        <v>7.2029829025268555E-2</v>
      </c>
      <c r="H21" s="3">
        <f>G21*1000</f>
        <v>72.029829025268555</v>
      </c>
      <c r="J21" s="4">
        <f>1629129320.99518-1629129320.92265</f>
        <v>7.2529792785644531E-2</v>
      </c>
      <c r="K21" s="3">
        <f>J21*1000</f>
        <v>72.529792785644531</v>
      </c>
      <c r="M21" s="4">
        <f>1629129320.99573-1629129320.92265</f>
        <v>7.3079824447631836E-2</v>
      </c>
      <c r="N21" s="3">
        <f>M21*1000</f>
        <v>73.079824447631836</v>
      </c>
      <c r="S21" s="4">
        <f>1629129648.85604-1629129648.78612</f>
        <v>6.9920063018798828E-2</v>
      </c>
      <c r="T21" s="3">
        <f>S21*1000</f>
        <v>69.920063018798828</v>
      </c>
      <c r="V21" s="4">
        <f>1629129648.85752-1629129648.78612</f>
        <v>7.1400165557861328E-2</v>
      </c>
      <c r="W21" s="3">
        <f>V21*1000</f>
        <v>71.400165557861328</v>
      </c>
      <c r="Y21" s="4">
        <f>1629129648.85688-1629129648.78612</f>
        <v>7.0760011672973633E-2</v>
      </c>
      <c r="Z21" s="3">
        <f>Y21*1000</f>
        <v>70.760011672973633</v>
      </c>
      <c r="AB21" s="4">
        <f>1629129648.85733-1629129648.78612</f>
        <v>7.1210145950317383E-2</v>
      </c>
      <c r="AC21" s="3">
        <f>AB21*1000</f>
        <v>71.210145950317383</v>
      </c>
      <c r="AE21" s="4">
        <f>1629129648.8578-1629129648.78612</f>
        <v>7.1680068969726563E-2</v>
      </c>
      <c r="AF21" s="3">
        <f>AE21*1000</f>
        <v>71.680068969726563</v>
      </c>
    </row>
    <row r="22" spans="1:32" x14ac:dyDescent="0.3">
      <c r="A22" s="4">
        <f>1629129322.08175-1629129322.00981</f>
        <v>7.1939945220947266E-2</v>
      </c>
      <c r="B22" s="3">
        <f t="shared" ref="B22:B30" si="4">A22*1000</f>
        <v>71.939945220947266</v>
      </c>
      <c r="D22" s="4">
        <f>1629129322.08236-1629129322.00981</f>
        <v>7.2550058364868164E-2</v>
      </c>
      <c r="E22" s="3">
        <f t="shared" ref="E22:E30" si="5">D22*1000</f>
        <v>72.550058364868164</v>
      </c>
      <c r="G22" s="4">
        <f>1629129322.08239-1629129322.00981</f>
        <v>7.2580099105834961E-2</v>
      </c>
      <c r="H22" s="3">
        <f t="shared" ref="H22:H30" si="6">G22*1000</f>
        <v>72.580099105834961</v>
      </c>
      <c r="J22" s="4">
        <f>1629129322.08299-1629129322.00981</f>
        <v>7.3179960250854492E-2</v>
      </c>
      <c r="K22" s="3">
        <f t="shared" ref="K22:K30" si="7">J22*1000</f>
        <v>73.179960250854492</v>
      </c>
      <c r="M22" s="4">
        <f>1629129322.08327-1629129322.00981</f>
        <v>7.3460102081298828E-2</v>
      </c>
      <c r="N22" s="3">
        <f t="shared" ref="N22:N30" si="8">M22*1000</f>
        <v>73.460102081298828</v>
      </c>
      <c r="S22" s="4">
        <f>1629129649.93953-1629129649.87083</f>
        <v>6.8699836730957031E-2</v>
      </c>
      <c r="T22" s="3">
        <f t="shared" ref="T22:T30" si="9">S22*1000</f>
        <v>68.699836730957031</v>
      </c>
      <c r="V22" s="4">
        <f>1629129649.94093-1629129649.87083</f>
        <v>7.0099830627441406E-2</v>
      </c>
      <c r="W22" s="3">
        <f t="shared" ref="W22:W30" si="10">V22*1000</f>
        <v>70.099830627441406</v>
      </c>
      <c r="Y22" s="4">
        <f>1629129649.94025-1629129649.87083</f>
        <v>6.941986083984375E-2</v>
      </c>
      <c r="Z22" s="3">
        <f t="shared" ref="Z22:Z30" si="11">Y22*1000</f>
        <v>69.41986083984375</v>
      </c>
      <c r="AB22" s="4">
        <f>1629129649.94056-1629129649.87083</f>
        <v>6.9730043411254883E-2</v>
      </c>
      <c r="AC22" s="3">
        <f t="shared" ref="AC22:AC30" si="12">AB22*1000</f>
        <v>69.730043411254883</v>
      </c>
      <c r="AE22" s="4">
        <f>1629129649.941-1629129649.87083</f>
        <v>7.0169925689697266E-2</v>
      </c>
      <c r="AF22" s="3">
        <f t="shared" ref="AF22:AF30" si="13">AE22*1000</f>
        <v>70.169925689697266</v>
      </c>
    </row>
    <row r="23" spans="1:32" x14ac:dyDescent="0.3">
      <c r="A23" s="4">
        <f>1629129323.16143-1629129323.09614</f>
        <v>6.5289974212646484E-2</v>
      </c>
      <c r="B23" s="3">
        <f t="shared" si="4"/>
        <v>65.289974212646484</v>
      </c>
      <c r="D23" s="4">
        <f>1629129323.16224-1629129323.09614</f>
        <v>6.6100120544433594E-2</v>
      </c>
      <c r="E23" s="3">
        <f t="shared" si="5"/>
        <v>66.100120544433594</v>
      </c>
      <c r="G23" s="4">
        <f>1629129323.1623-1629129323.09614</f>
        <v>6.6160202026367188E-2</v>
      </c>
      <c r="H23" s="3">
        <f t="shared" si="6"/>
        <v>66.160202026367188</v>
      </c>
      <c r="J23" s="4">
        <f>1629129323.16283-1629129323.09614</f>
        <v>6.6690206527709961E-2</v>
      </c>
      <c r="K23" s="3">
        <f t="shared" si="7"/>
        <v>66.690206527709961</v>
      </c>
      <c r="M23" s="4">
        <f>1629129323.16305-1629129323.09614</f>
        <v>6.6910028457641602E-2</v>
      </c>
      <c r="N23" s="3">
        <f t="shared" si="8"/>
        <v>66.910028457641602</v>
      </c>
      <c r="S23" s="4">
        <f>1629129651.02742-1629129650.95537</f>
        <v>7.2050094604492188E-2</v>
      </c>
      <c r="T23" s="3">
        <f t="shared" si="9"/>
        <v>72.050094604492188</v>
      </c>
      <c r="V23" s="4">
        <f>1629129651.0292-1629129650.95537</f>
        <v>7.3830127716064453E-2</v>
      </c>
      <c r="W23" s="3">
        <f t="shared" si="10"/>
        <v>73.830127716064453</v>
      </c>
      <c r="Y23" s="4">
        <f>1629129651.0282-1629129650.95537</f>
        <v>7.2829961776733398E-2</v>
      </c>
      <c r="Z23" s="3">
        <f t="shared" si="11"/>
        <v>72.829961776733398</v>
      </c>
      <c r="AB23" s="4">
        <f>1629129651.02839-1629129650.95537</f>
        <v>7.3019981384277344E-2</v>
      </c>
      <c r="AC23" s="3">
        <f t="shared" si="12"/>
        <v>73.019981384277344</v>
      </c>
      <c r="AE23" s="4">
        <f>1629129651.0288-1629129650.95537</f>
        <v>7.3430061340332031E-2</v>
      </c>
      <c r="AF23" s="3">
        <f t="shared" si="13"/>
        <v>73.430061340332031</v>
      </c>
    </row>
    <row r="24" spans="1:32" x14ac:dyDescent="0.3">
      <c r="A24" s="4">
        <f>1629129324.24546-1629129324.17571</f>
        <v>6.9750070571899414E-2</v>
      </c>
      <c r="B24" s="3">
        <f t="shared" si="4"/>
        <v>69.750070571899414</v>
      </c>
      <c r="D24" s="4">
        <f>1629129324.24619-1629129324.17571</f>
        <v>7.0480108261108398E-2</v>
      </c>
      <c r="E24" s="3">
        <f t="shared" si="5"/>
        <v>70.480108261108398</v>
      </c>
      <c r="G24" s="4">
        <f>1629129324.24623-1629129324.17571</f>
        <v>7.0519924163818359E-2</v>
      </c>
      <c r="H24" s="3">
        <f t="shared" si="6"/>
        <v>70.519924163818359</v>
      </c>
      <c r="J24" s="4">
        <f>1629129324.24677-1629129324.17571</f>
        <v>7.1059942245483398E-2</v>
      </c>
      <c r="K24" s="3">
        <f t="shared" si="7"/>
        <v>71.059942245483398</v>
      </c>
      <c r="M24" s="4">
        <f>1629129324.24716-1629129324.17571</f>
        <v>7.1449995040893555E-2</v>
      </c>
      <c r="N24" s="3">
        <f t="shared" si="8"/>
        <v>71.449995040893555</v>
      </c>
      <c r="S24" s="4">
        <f>1629129652.11179-1629129652.04216</f>
        <v>6.9629907608032227E-2</v>
      </c>
      <c r="T24" s="3">
        <f t="shared" si="9"/>
        <v>69.629907608032227</v>
      </c>
      <c r="V24" s="4">
        <f>1629129652.11288-1629129652.04216</f>
        <v>7.071995735168457E-2</v>
      </c>
      <c r="W24" s="3">
        <f t="shared" si="10"/>
        <v>70.71995735168457</v>
      </c>
      <c r="Y24" s="4">
        <f>1629129652.11306-1629129652.04216</f>
        <v>7.089996337890625E-2</v>
      </c>
      <c r="Z24" s="3">
        <f t="shared" si="11"/>
        <v>70.89996337890625</v>
      </c>
      <c r="AB24" s="4">
        <f>1629129652.11363-1629129652.04216</f>
        <v>7.1470022201538086E-2</v>
      </c>
      <c r="AC24" s="3">
        <f t="shared" si="12"/>
        <v>71.470022201538086</v>
      </c>
      <c r="AE24" s="4">
        <f>1629129652.11401-1629129652.04216</f>
        <v>7.1850061416625977E-2</v>
      </c>
      <c r="AF24" s="3">
        <f t="shared" si="13"/>
        <v>71.850061416625977</v>
      </c>
    </row>
    <row r="25" spans="1:32" x14ac:dyDescent="0.3">
      <c r="A25" s="4">
        <f>1629129325.33347-1629129325.26184</f>
        <v>7.1630001068115234E-2</v>
      </c>
      <c r="B25" s="3">
        <f t="shared" si="4"/>
        <v>71.630001068115234</v>
      </c>
      <c r="D25" s="4">
        <f>1629129325.33422-1629129325.26184</f>
        <v>7.2379827499389648E-2</v>
      </c>
      <c r="E25" s="3">
        <f t="shared" si="5"/>
        <v>72.379827499389648</v>
      </c>
      <c r="G25" s="4">
        <f>1629129325.33431-1629129325.26184</f>
        <v>7.2469949722290039E-2</v>
      </c>
      <c r="H25" s="3">
        <f t="shared" si="6"/>
        <v>72.469949722290039</v>
      </c>
      <c r="J25" s="4">
        <f>1629129325.33492-1629129325.26184</f>
        <v>7.3079824447631836E-2</v>
      </c>
      <c r="K25" s="3">
        <f t="shared" si="7"/>
        <v>73.079824447631836</v>
      </c>
      <c r="M25" s="4">
        <f>1629129325.33533-1629129325.26184</f>
        <v>7.3489904403686523E-2</v>
      </c>
      <c r="N25" s="3">
        <f t="shared" si="8"/>
        <v>73.489904403686523</v>
      </c>
      <c r="S25" s="4">
        <f>1629129653.19954-1629129653.12829</f>
        <v>7.1249961853027344E-2</v>
      </c>
      <c r="T25" s="3">
        <f t="shared" si="9"/>
        <v>71.249961853027344</v>
      </c>
      <c r="V25" s="4">
        <f>1629129653.20123-1629129653.12829</f>
        <v>7.294011116027832E-2</v>
      </c>
      <c r="W25" s="3">
        <f t="shared" si="10"/>
        <v>72.94011116027832</v>
      </c>
      <c r="Y25" s="4">
        <f>1629129653.20027-1629129653.12829</f>
        <v>7.1979999542236328E-2</v>
      </c>
      <c r="Z25" s="3">
        <f t="shared" si="11"/>
        <v>71.979999542236328</v>
      </c>
      <c r="AB25" s="4">
        <f>1629129653.20044-1629129653.12829</f>
        <v>7.2149991989135742E-2</v>
      </c>
      <c r="AC25" s="3">
        <f t="shared" si="12"/>
        <v>72.149991989135742</v>
      </c>
      <c r="AE25" s="4">
        <f>1629129653.201-1629129653.12829</f>
        <v>7.2710037231445313E-2</v>
      </c>
      <c r="AF25" s="3">
        <f t="shared" si="13"/>
        <v>72.710037231445313</v>
      </c>
    </row>
    <row r="26" spans="1:32" x14ac:dyDescent="0.3">
      <c r="A26" s="4">
        <f>1629129326.41335-1629129326.34846</f>
        <v>6.4890146255493164E-2</v>
      </c>
      <c r="B26" s="3">
        <f t="shared" si="4"/>
        <v>64.890146255493164</v>
      </c>
      <c r="D26" s="4">
        <f>1629129326.41386-1629129326.34846</f>
        <v>6.5400123596191406E-2</v>
      </c>
      <c r="E26" s="3">
        <f t="shared" si="5"/>
        <v>65.400123596191406</v>
      </c>
      <c r="G26" s="4">
        <f>1629129326.41402-1629129326.34846</f>
        <v>6.5560102462768555E-2</v>
      </c>
      <c r="H26" s="3">
        <f t="shared" si="6"/>
        <v>65.560102462768555</v>
      </c>
      <c r="J26" s="4">
        <f>1629129326.41461-1629129326.34846</f>
        <v>6.614995002746582E-2</v>
      </c>
      <c r="K26" s="3">
        <f t="shared" si="7"/>
        <v>66.14995002746582</v>
      </c>
      <c r="M26" s="4">
        <f>1629129326.415-1629129326.34846</f>
        <v>6.6540002822875977E-2</v>
      </c>
      <c r="N26" s="3">
        <f t="shared" si="8"/>
        <v>66.540002822875977</v>
      </c>
      <c r="S26" s="4">
        <f>1629129654.28357-1629129654.21416</f>
        <v>6.9410085678100586E-2</v>
      </c>
      <c r="T26" s="3">
        <f t="shared" si="9"/>
        <v>69.410085678100586</v>
      </c>
      <c r="V26" s="4">
        <f>1629129654.28528-1629129654.21416</f>
        <v>7.1120023727416992E-2</v>
      </c>
      <c r="W26" s="3">
        <f t="shared" si="10"/>
        <v>71.120023727416992</v>
      </c>
      <c r="Y26" s="4">
        <f>1629129654.28431-1629129654.21416</f>
        <v>7.0150136947631836E-2</v>
      </c>
      <c r="Z26" s="3">
        <f t="shared" si="11"/>
        <v>70.150136947631836</v>
      </c>
      <c r="AB26" s="4">
        <f>1629129654.28448-1629129654.21416</f>
        <v>7.032012939453125E-2</v>
      </c>
      <c r="AC26" s="3">
        <f t="shared" si="12"/>
        <v>70.32012939453125</v>
      </c>
      <c r="AE26" s="4">
        <f>1629129654.28498-1629129654.21416</f>
        <v>7.0820093154907227E-2</v>
      </c>
      <c r="AF26" s="3">
        <f t="shared" si="13"/>
        <v>70.820093154907227</v>
      </c>
    </row>
    <row r="27" spans="1:32" x14ac:dyDescent="0.3">
      <c r="A27" s="4">
        <f>1629129327.49776-1629129327.42945</f>
        <v>6.8310022354125977E-2</v>
      </c>
      <c r="B27" s="3">
        <f t="shared" si="4"/>
        <v>68.310022354125977</v>
      </c>
      <c r="D27" s="4">
        <f>1629129327.49848-1629129327.42945</f>
        <v>6.9030046463012695E-2</v>
      </c>
      <c r="E27" s="3">
        <f t="shared" si="5"/>
        <v>69.030046463012695</v>
      </c>
      <c r="G27" s="4">
        <f>1629129327.49865-1629129327.42945</f>
        <v>6.9200038909912109E-2</v>
      </c>
      <c r="H27" s="3">
        <f t="shared" si="6"/>
        <v>69.200038909912109</v>
      </c>
      <c r="J27" s="4">
        <f>1629129327.49939-1629129327.42945</f>
        <v>6.9939851760864258E-2</v>
      </c>
      <c r="K27" s="3">
        <f t="shared" si="7"/>
        <v>69.939851760864258</v>
      </c>
      <c r="M27" s="4">
        <f>1629129327.49957-1629129327.42945</f>
        <v>7.0119857788085938E-2</v>
      </c>
      <c r="N27" s="3">
        <f t="shared" si="8"/>
        <v>70.119857788085938</v>
      </c>
      <c r="S27" s="4">
        <f>1629129655.37162-1629129655.29908</f>
        <v>7.2540044784545898E-2</v>
      </c>
      <c r="T27" s="3">
        <f t="shared" si="9"/>
        <v>72.540044784545898</v>
      </c>
      <c r="V27" s="4">
        <f>1629129655.37335-1629129655.29908</f>
        <v>7.4270009994506836E-2</v>
      </c>
      <c r="W27" s="3">
        <f t="shared" si="10"/>
        <v>74.270009994506836</v>
      </c>
      <c r="Y27" s="4">
        <f>1629129655.37262-1629129655.29908</f>
        <v>7.3540210723876953E-2</v>
      </c>
      <c r="Z27" s="3">
        <f t="shared" si="11"/>
        <v>73.540210723876953</v>
      </c>
      <c r="AB27" s="4">
        <f>1629129655.37295-1629129655.29908</f>
        <v>7.3870182037353516E-2</v>
      </c>
      <c r="AC27" s="3">
        <f t="shared" si="12"/>
        <v>73.870182037353516</v>
      </c>
      <c r="AE27" s="4">
        <f>1629129655.3733-1629129655.29908</f>
        <v>7.4220180511474609E-2</v>
      </c>
      <c r="AF27" s="3">
        <f t="shared" si="13"/>
        <v>74.220180511474609</v>
      </c>
    </row>
    <row r="28" spans="1:32" x14ac:dyDescent="0.3">
      <c r="A28" s="4">
        <f>1629129328.58556-1629129328.51356</f>
        <v>7.2000026702880859E-2</v>
      </c>
      <c r="B28" s="3">
        <f t="shared" si="4"/>
        <v>72.000026702880859</v>
      </c>
      <c r="D28" s="4">
        <f>1629129328.5863-1629129328.51356</f>
        <v>7.2739839553833008E-2</v>
      </c>
      <c r="E28" s="3">
        <f t="shared" si="5"/>
        <v>72.739839553833008</v>
      </c>
      <c r="G28" s="4">
        <f>1629129328.58642-1629129328.51356</f>
        <v>7.2860002517700195E-2</v>
      </c>
      <c r="H28" s="3">
        <f t="shared" si="6"/>
        <v>72.860002517700195</v>
      </c>
      <c r="J28" s="4">
        <f>1629129328.58699-1629129328.51356</f>
        <v>7.3430061340332031E-2</v>
      </c>
      <c r="K28" s="3">
        <f t="shared" si="7"/>
        <v>73.430061340332031</v>
      </c>
      <c r="M28" s="4">
        <f>1629129328.58747-1629129328.51356</f>
        <v>7.3909997940063477E-2</v>
      </c>
      <c r="N28" s="3">
        <f t="shared" si="8"/>
        <v>73.909997940063477</v>
      </c>
      <c r="S28" s="4">
        <f>1629129656.45957-1629129656.3877</f>
        <v>7.1869850158691406E-2</v>
      </c>
      <c r="T28" s="3">
        <f t="shared" si="9"/>
        <v>71.869850158691406</v>
      </c>
      <c r="V28" s="4">
        <f>1629129656.46136-1629129656.3877</f>
        <v>7.3659896850585938E-2</v>
      </c>
      <c r="W28" s="3">
        <f t="shared" si="10"/>
        <v>73.659896850585938</v>
      </c>
      <c r="Y28" s="4">
        <f>1629129656.46033-1629129656.3877</f>
        <v>7.2629928588867188E-2</v>
      </c>
      <c r="Z28" s="3">
        <f t="shared" si="11"/>
        <v>72.629928588867188</v>
      </c>
      <c r="AB28" s="4">
        <f>1629129656.46064-1629129656.3877</f>
        <v>7.2939872741699219E-2</v>
      </c>
      <c r="AC28" s="3">
        <f t="shared" si="12"/>
        <v>72.939872741699219</v>
      </c>
      <c r="AE28" s="4">
        <f>1629129656.46104-1629129656.3877</f>
        <v>7.3339939117431641E-2</v>
      </c>
      <c r="AF28" s="3">
        <f t="shared" si="13"/>
        <v>73.339939117431641</v>
      </c>
    </row>
    <row r="29" spans="1:32" x14ac:dyDescent="0.3">
      <c r="A29" s="4">
        <f>1629129329.67801-1629129329.6043</f>
        <v>7.3709964752197266E-2</v>
      </c>
      <c r="B29" s="3">
        <f t="shared" si="4"/>
        <v>73.709964752197266</v>
      </c>
      <c r="D29" s="4">
        <f>1629129329.67882-1629129329.6043</f>
        <v>7.4519872665405273E-2</v>
      </c>
      <c r="E29" s="3">
        <f t="shared" si="5"/>
        <v>74.519872665405273</v>
      </c>
      <c r="G29" s="4">
        <f>1629129329.67864-1629129329.6043</f>
        <v>7.4339866638183594E-2</v>
      </c>
      <c r="H29" s="3">
        <f t="shared" si="6"/>
        <v>74.339866638183594</v>
      </c>
      <c r="J29" s="4">
        <f>1629129329.67915-1629129329.6043</f>
        <v>7.4850082397460938E-2</v>
      </c>
      <c r="K29" s="3">
        <f t="shared" si="7"/>
        <v>74.850082397460938</v>
      </c>
      <c r="M29" s="4">
        <f>1629129329.67945-1629129329.6043</f>
        <v>7.5150012969970703E-2</v>
      </c>
      <c r="N29" s="3">
        <f t="shared" si="8"/>
        <v>75.150012969970703</v>
      </c>
      <c r="S29" s="4">
        <f>1629129657.54754-1629129657.47651</f>
        <v>7.1029901504516602E-2</v>
      </c>
      <c r="T29" s="3">
        <f t="shared" si="9"/>
        <v>71.029901504516602</v>
      </c>
      <c r="V29" s="4">
        <f>1629129657.54921-1629129657.47651</f>
        <v>7.2700023651123047E-2</v>
      </c>
      <c r="W29" s="3">
        <f t="shared" si="10"/>
        <v>72.700023651123047</v>
      </c>
      <c r="Y29" s="4">
        <f>1629129657.5482-1629129657.47651</f>
        <v>7.1689844131469727E-2</v>
      </c>
      <c r="Z29" s="3">
        <f t="shared" si="11"/>
        <v>71.689844131469727</v>
      </c>
      <c r="AB29" s="4">
        <f>1629129657.54842-1629129657.47651</f>
        <v>7.1909904479980469E-2</v>
      </c>
      <c r="AC29" s="3">
        <f t="shared" si="12"/>
        <v>71.909904479980469</v>
      </c>
      <c r="AE29" s="4">
        <f>1629129657.54881-1629129657.47651</f>
        <v>7.2299957275390625E-2</v>
      </c>
      <c r="AF29" s="3">
        <f t="shared" si="13"/>
        <v>72.299957275390625</v>
      </c>
    </row>
    <row r="30" spans="1:32" x14ac:dyDescent="0.3">
      <c r="A30" s="4">
        <f>1629129330.76212-1629129330.69312</f>
        <v>6.9000005722045898E-2</v>
      </c>
      <c r="B30" s="3">
        <f t="shared" si="4"/>
        <v>69.000005722045898</v>
      </c>
      <c r="D30" s="4">
        <f>1629129330.7637-1629129330.69312</f>
        <v>7.0580005645751953E-2</v>
      </c>
      <c r="E30" s="3">
        <f t="shared" si="5"/>
        <v>70.580005645751953</v>
      </c>
      <c r="G30" s="4">
        <f>1629129330.7632-1629129330.69312</f>
        <v>7.0080041885375977E-2</v>
      </c>
      <c r="H30" s="3">
        <f t="shared" si="6"/>
        <v>70.080041885375977</v>
      </c>
      <c r="J30" s="4">
        <f>1629129330.76875-1629129330.69312</f>
        <v>7.5629949569702148E-2</v>
      </c>
      <c r="K30" s="3">
        <f t="shared" si="7"/>
        <v>75.629949569702148</v>
      </c>
      <c r="M30" s="4">
        <f>1629129330.76396-1629129330.69312</f>
        <v>7.0839881896972656E-2</v>
      </c>
      <c r="N30" s="3">
        <f t="shared" si="8"/>
        <v>70.839881896972656</v>
      </c>
      <c r="S30" s="4">
        <f>1629129658.63155-1629129658.5623</f>
        <v>6.9250106811523438E-2</v>
      </c>
      <c r="T30" s="3">
        <f t="shared" si="9"/>
        <v>69.250106811523438</v>
      </c>
      <c r="V30" s="4">
        <f>1629129658.633-1629129658.5623</f>
        <v>7.0699930191040039E-2</v>
      </c>
      <c r="W30" s="3">
        <f t="shared" si="10"/>
        <v>70.699930191040039</v>
      </c>
      <c r="Y30" s="4">
        <f>1629129658.63916-1629129658.5623</f>
        <v>7.6859951019287109E-2</v>
      </c>
      <c r="Z30" s="3">
        <f t="shared" si="11"/>
        <v>76.859951019287109</v>
      </c>
      <c r="AB30" s="4">
        <f>1629129658.63306-1629129658.5623</f>
        <v>7.0760011672973633E-2</v>
      </c>
      <c r="AC30" s="3">
        <f t="shared" si="12"/>
        <v>70.760011672973633</v>
      </c>
      <c r="AE30" s="4">
        <f>1629129658.63364-1629129658.5623</f>
        <v>7.1340084075927734E-2</v>
      </c>
      <c r="AF30" s="3">
        <f t="shared" si="13"/>
        <v>71.340084075927734</v>
      </c>
    </row>
    <row r="31" spans="1:32" x14ac:dyDescent="0.3">
      <c r="B31" s="2">
        <f>AVERAGE(B21:B30)</f>
        <v>69.769001007080078</v>
      </c>
      <c r="E31" s="2">
        <f>AVERAGE(E21:E30)</f>
        <v>70.605993270874023</v>
      </c>
      <c r="H31" s="2">
        <f>AVERAGE(H21:H30)</f>
        <v>70.580005645751953</v>
      </c>
      <c r="K31" s="2">
        <f>AVERAGE(K21:K30)</f>
        <v>71.653962135314941</v>
      </c>
      <c r="N31" s="2">
        <f>AVERAGE(N21:N30)</f>
        <v>71.494960784912109</v>
      </c>
      <c r="T31" s="2">
        <f>AVERAGE(T21:T30)</f>
        <v>70.564985275268555</v>
      </c>
      <c r="W31" s="2">
        <f>AVERAGE(W21:W30)</f>
        <v>72.144007682800293</v>
      </c>
      <c r="Z31" s="2">
        <f>AVERAGE(Z21:Z30)</f>
        <v>72.075986862182617</v>
      </c>
      <c r="AC31" s="2">
        <f>AVERAGE(AC21:AC30)</f>
        <v>71.738028526306152</v>
      </c>
      <c r="AF31" s="2">
        <f>AVERAGE(AF21:AF30)</f>
        <v>72.186040878295898</v>
      </c>
    </row>
    <row r="33" spans="1:32" x14ac:dyDescent="0.3">
      <c r="A33" s="6" t="s">
        <v>18</v>
      </c>
      <c r="B33" s="6"/>
      <c r="D33" s="6" t="s">
        <v>19</v>
      </c>
      <c r="E33" s="6"/>
      <c r="G33" s="6" t="s">
        <v>20</v>
      </c>
      <c r="H33" s="6"/>
      <c r="J33" s="6" t="s">
        <v>21</v>
      </c>
      <c r="K33" s="6"/>
      <c r="M33" s="6" t="s">
        <v>17</v>
      </c>
      <c r="N33" s="6"/>
      <c r="S33" s="6" t="s">
        <v>18</v>
      </c>
      <c r="T33" s="6"/>
      <c r="V33" s="6" t="s">
        <v>19</v>
      </c>
      <c r="W33" s="6"/>
      <c r="Y33" s="6" t="s">
        <v>20</v>
      </c>
      <c r="Z33" s="6"/>
      <c r="AB33" s="6" t="s">
        <v>21</v>
      </c>
      <c r="AC33" s="6"/>
      <c r="AE33" s="6" t="s">
        <v>17</v>
      </c>
      <c r="AF33" s="6"/>
    </row>
    <row r="34" spans="1:32" ht="45" customHeight="1" x14ac:dyDescent="0.3">
      <c r="A34" s="8" t="s">
        <v>62</v>
      </c>
      <c r="B34" s="8"/>
      <c r="D34" s="8" t="s">
        <v>62</v>
      </c>
      <c r="E34" s="8"/>
      <c r="G34" s="8" t="s">
        <v>62</v>
      </c>
      <c r="H34" s="8"/>
      <c r="J34" s="8" t="s">
        <v>62</v>
      </c>
      <c r="K34" s="8"/>
      <c r="M34" s="8" t="s">
        <v>62</v>
      </c>
      <c r="N34" s="8"/>
      <c r="S34" s="8" t="s">
        <v>63</v>
      </c>
      <c r="T34" s="8"/>
      <c r="V34" s="8" t="s">
        <v>63</v>
      </c>
      <c r="W34" s="8"/>
      <c r="Y34" s="8" t="s">
        <v>63</v>
      </c>
      <c r="Z34" s="8"/>
      <c r="AB34" s="8" t="s">
        <v>63</v>
      </c>
      <c r="AC34" s="8"/>
      <c r="AE34" s="8" t="s">
        <v>63</v>
      </c>
      <c r="AF34" s="8"/>
    </row>
    <row r="35" spans="1:32" x14ac:dyDescent="0.3">
      <c r="A35" s="1" t="s">
        <v>1</v>
      </c>
      <c r="B35" s="1" t="s">
        <v>0</v>
      </c>
      <c r="D35" s="1" t="s">
        <v>1</v>
      </c>
      <c r="E35" s="1" t="s">
        <v>0</v>
      </c>
      <c r="G35" s="1" t="s">
        <v>1</v>
      </c>
      <c r="H35" s="1" t="s">
        <v>0</v>
      </c>
      <c r="J35" s="1" t="s">
        <v>1</v>
      </c>
      <c r="K35" s="1" t="s">
        <v>0</v>
      </c>
      <c r="M35" s="1" t="s">
        <v>1</v>
      </c>
      <c r="N35" s="1" t="s">
        <v>0</v>
      </c>
      <c r="S35" s="1" t="s">
        <v>1</v>
      </c>
      <c r="T35" s="1" t="s">
        <v>0</v>
      </c>
      <c r="V35" s="1" t="s">
        <v>1</v>
      </c>
      <c r="W35" s="1" t="s">
        <v>0</v>
      </c>
      <c r="Y35" s="1" t="s">
        <v>1</v>
      </c>
      <c r="Z35" s="1" t="s">
        <v>0</v>
      </c>
      <c r="AB35" s="1" t="s">
        <v>1</v>
      </c>
      <c r="AC35" s="1" t="s">
        <v>0</v>
      </c>
      <c r="AE35" s="1" t="s">
        <v>1</v>
      </c>
      <c r="AF35" s="1" t="s">
        <v>0</v>
      </c>
    </row>
    <row r="36" spans="1:32" x14ac:dyDescent="0.3">
      <c r="A36" s="4">
        <f>1629129320.99467-1629129320.92265</f>
        <v>7.2019815444946289E-2</v>
      </c>
      <c r="B36" s="3">
        <f>A36*1000</f>
        <v>72.019815444946289</v>
      </c>
      <c r="D36" s="4">
        <f>1629129320.99543-1629129320.92265</f>
        <v>7.277989387512207E-2</v>
      </c>
      <c r="E36" s="3">
        <f>D36*1000</f>
        <v>72.77989387512207</v>
      </c>
      <c r="G36" s="4">
        <f>1629129320.99562-1629129320.92265</f>
        <v>7.2969913482666016E-2</v>
      </c>
      <c r="H36" s="3">
        <f>G36*1000</f>
        <v>72.969913482666016</v>
      </c>
      <c r="J36" s="4">
        <f>1629129320.99613-1629129320.92265</f>
        <v>7.3479890823364258E-2</v>
      </c>
      <c r="K36" s="3">
        <f>J36*1000</f>
        <v>73.479890823364258</v>
      </c>
      <c r="M36" s="4">
        <f>1629129320.99681-1629129320.92265</f>
        <v>7.4159860610961914E-2</v>
      </c>
      <c r="N36" s="3">
        <f>M36*1000</f>
        <v>74.159860610961914</v>
      </c>
      <c r="S36" s="4">
        <f>1629129648.85883-1629129648.78612</f>
        <v>7.2710037231445313E-2</v>
      </c>
      <c r="T36" s="3">
        <f>S36*1000</f>
        <v>72.710037231445313</v>
      </c>
      <c r="V36" s="4">
        <f>1629129648.85794-1629129648.78612</f>
        <v>7.182002067565918E-2</v>
      </c>
      <c r="W36" s="3">
        <f>V36*1000</f>
        <v>71.82002067565918</v>
      </c>
      <c r="Y36" s="4">
        <f>1629129648.85851-1629129648.78612</f>
        <v>7.2390079498291016E-2</v>
      </c>
      <c r="Z36" s="3">
        <f>Y36*1000</f>
        <v>72.390079498291016</v>
      </c>
      <c r="AB36" s="4">
        <f>1629129648.85936-1629129648.78612</f>
        <v>7.3240041732788086E-2</v>
      </c>
      <c r="AC36" s="3">
        <f>AB36*1000</f>
        <v>73.240041732788086</v>
      </c>
      <c r="AE36" s="4">
        <f>1629129648.85878-1629129648.78612</f>
        <v>7.2659969329833984E-2</v>
      </c>
      <c r="AF36" s="3">
        <f>AE36*1000</f>
        <v>72.659969329833984</v>
      </c>
    </row>
    <row r="37" spans="1:32" x14ac:dyDescent="0.3">
      <c r="A37" s="4">
        <f>1629129322.08219-1629129322.00981</f>
        <v>7.238006591796875E-2</v>
      </c>
      <c r="B37" s="3">
        <f t="shared" ref="B37:B45" si="14">A37*1000</f>
        <v>72.38006591796875</v>
      </c>
      <c r="D37" s="4">
        <f>1629129322.08278-1629129322.00981</f>
        <v>7.2969913482666016E-2</v>
      </c>
      <c r="E37" s="3">
        <f t="shared" ref="E37:E45" si="15">D37*1000</f>
        <v>72.969913482666016</v>
      </c>
      <c r="G37" s="4">
        <f>1629129322.08303-1629129322.00981</f>
        <v>7.3220014572143555E-2</v>
      </c>
      <c r="H37" s="3">
        <f t="shared" ref="H37:H45" si="16">G37*1000</f>
        <v>73.220014572143555</v>
      </c>
      <c r="J37" s="4">
        <f>1629129322.08349-1629129322.00981</f>
        <v>7.3679924011230469E-2</v>
      </c>
      <c r="K37" s="3">
        <f t="shared" ref="K37:K45" si="17">J37*1000</f>
        <v>73.679924011230469</v>
      </c>
      <c r="M37" s="4">
        <f>1629129322.08421-1629129322.00981</f>
        <v>7.4399948120117188E-2</v>
      </c>
      <c r="N37" s="3">
        <f t="shared" ref="N37:N45" si="18">M37*1000</f>
        <v>74.399948120117188</v>
      </c>
      <c r="S37" s="4">
        <f>1629129649.94171-1629129649.87083</f>
        <v>7.0879936218261719E-2</v>
      </c>
      <c r="T37" s="3">
        <f t="shared" ref="T37:T45" si="19">S37*1000</f>
        <v>70.879936218261719</v>
      </c>
      <c r="V37" s="4">
        <f>1629129649.94109-1629129649.87083</f>
        <v>7.0260047912597656E-2</v>
      </c>
      <c r="W37" s="3">
        <f t="shared" ref="W37:W45" si="20">V37*1000</f>
        <v>70.260047912597656</v>
      </c>
      <c r="Y37" s="4">
        <f>1629129649.94181-1629129649.87083</f>
        <v>7.0979833602905273E-2</v>
      </c>
      <c r="Z37" s="3">
        <f t="shared" ref="Z37:Z45" si="21">Y37*1000</f>
        <v>70.979833602905273</v>
      </c>
      <c r="AB37" s="4">
        <f>1629129649.94297-1629129649.87083</f>
        <v>7.2139978408813477E-2</v>
      </c>
      <c r="AC37" s="3">
        <f t="shared" ref="AC37:AC45" si="22">AB37*1000</f>
        <v>72.139978408813477</v>
      </c>
      <c r="AE37" s="4">
        <f>1629129649.94224-1629129649.87083</f>
        <v>7.1409940719604492E-2</v>
      </c>
      <c r="AF37" s="3">
        <f t="shared" ref="AF37:AF45" si="23">AE37*1000</f>
        <v>71.409940719604492</v>
      </c>
    </row>
    <row r="38" spans="1:32" x14ac:dyDescent="0.3">
      <c r="A38" s="4">
        <f>1629129323.16183-1629129323.09614</f>
        <v>6.5690040588378906E-2</v>
      </c>
      <c r="B38" s="3">
        <f t="shared" si="14"/>
        <v>65.690040588378906</v>
      </c>
      <c r="D38" s="4">
        <f>1629129323.16239-1629129323.09614</f>
        <v>6.6250085830688477E-2</v>
      </c>
      <c r="E38" s="3">
        <f t="shared" si="15"/>
        <v>66.250085830688477</v>
      </c>
      <c r="G38" s="4">
        <f>1629129323.16255-1629129323.09614</f>
        <v>6.6410064697265625E-2</v>
      </c>
      <c r="H38" s="3">
        <f t="shared" si="16"/>
        <v>66.410064697265625</v>
      </c>
      <c r="J38" s="4">
        <f>1629129323.16296-1629129323.09614</f>
        <v>6.6820144653320313E-2</v>
      </c>
      <c r="K38" s="3">
        <f t="shared" si="17"/>
        <v>66.820144653320313</v>
      </c>
      <c r="M38" s="4">
        <f>1629129323.16365-1629129323.09614</f>
        <v>6.7510128021240234E-2</v>
      </c>
      <c r="N38" s="3">
        <f t="shared" si="18"/>
        <v>67.510128021240234</v>
      </c>
      <c r="S38" s="4">
        <f>1629129651.02948-1629129650.95537</f>
        <v>7.4110031127929688E-2</v>
      </c>
      <c r="T38" s="3">
        <f t="shared" si="19"/>
        <v>74.110031127929688</v>
      </c>
      <c r="V38" s="4">
        <f>1629129651.02877-1629129650.95537</f>
        <v>7.3400020599365234E-2</v>
      </c>
      <c r="W38" s="3">
        <f t="shared" si="20"/>
        <v>73.400020599365234</v>
      </c>
      <c r="Y38" s="4">
        <f>1629129651.02943-1629129650.95537</f>
        <v>7.4059963226318359E-2</v>
      </c>
      <c r="Z38" s="3">
        <f t="shared" si="21"/>
        <v>74.059963226318359</v>
      </c>
      <c r="AB38" s="4">
        <f>1629129651.0305-1629129650.95537</f>
        <v>7.5129985809326172E-2</v>
      </c>
      <c r="AC38" s="3">
        <f t="shared" si="22"/>
        <v>75.129985809326172</v>
      </c>
      <c r="AE38" s="4">
        <f>1629129651.02976-1629129650.95537</f>
        <v>7.4389934539794922E-2</v>
      </c>
      <c r="AF38" s="3">
        <f t="shared" si="23"/>
        <v>74.389934539794922</v>
      </c>
    </row>
    <row r="39" spans="1:32" x14ac:dyDescent="0.3">
      <c r="A39" s="4">
        <f>1629129324.24603-1629129324.17571</f>
        <v>7.032012939453125E-2</v>
      </c>
      <c r="B39" s="3">
        <f t="shared" si="14"/>
        <v>70.32012939453125</v>
      </c>
      <c r="D39" s="4">
        <f>1629129324.24662-1629129324.17571</f>
        <v>7.0909976959228516E-2</v>
      </c>
      <c r="E39" s="3">
        <f t="shared" si="15"/>
        <v>70.909976959228516</v>
      </c>
      <c r="G39" s="4">
        <f>1629129324.24688-1629129324.17571</f>
        <v>7.117009162902832E-2</v>
      </c>
      <c r="H39" s="3">
        <f t="shared" si="16"/>
        <v>71.17009162902832</v>
      </c>
      <c r="J39" s="4">
        <f>1629129324.24736-1629129324.17571</f>
        <v>7.1650028228759766E-2</v>
      </c>
      <c r="K39" s="3">
        <f t="shared" si="17"/>
        <v>71.650028228759766</v>
      </c>
      <c r="M39" s="4">
        <f>1629129324.24809-1629129324.17571</f>
        <v>7.238006591796875E-2</v>
      </c>
      <c r="N39" s="3">
        <f t="shared" si="18"/>
        <v>72.38006591796875</v>
      </c>
      <c r="S39" s="4">
        <f>1629129652.11486-1629129652.04216</f>
        <v>7.2700023651123047E-2</v>
      </c>
      <c r="T39" s="3">
        <f t="shared" si="19"/>
        <v>72.700023651123047</v>
      </c>
      <c r="V39" s="4">
        <f>1629129652.11419-1629129652.04216</f>
        <v>7.2030067443847656E-2</v>
      </c>
      <c r="W39" s="3">
        <f t="shared" si="20"/>
        <v>72.030067443847656</v>
      </c>
      <c r="Y39" s="4">
        <f>1629129652.11479-1629129652.04216</f>
        <v>7.2629928588867188E-2</v>
      </c>
      <c r="Z39" s="3">
        <f t="shared" si="21"/>
        <v>72.629928588867188</v>
      </c>
      <c r="AB39" s="4">
        <f>1629129652.11597-1629129652.04216</f>
        <v>7.380986213684082E-2</v>
      </c>
      <c r="AC39" s="3">
        <f t="shared" si="22"/>
        <v>73.80986213684082</v>
      </c>
      <c r="AE39" s="4">
        <f>1629129652.11518-1629129652.04216</f>
        <v>7.3019981384277344E-2</v>
      </c>
      <c r="AF39" s="3">
        <f t="shared" si="23"/>
        <v>73.019981384277344</v>
      </c>
    </row>
    <row r="40" spans="1:32" x14ac:dyDescent="0.3">
      <c r="A40" s="4">
        <f>1629129325.33424-1629129325.26184</f>
        <v>7.239985466003418E-2</v>
      </c>
      <c r="B40" s="3">
        <f t="shared" si="14"/>
        <v>72.39985466003418</v>
      </c>
      <c r="D40" s="4">
        <f>1629129325.33477-1629129325.26184</f>
        <v>7.2929859161376953E-2</v>
      </c>
      <c r="E40" s="3">
        <f t="shared" si="15"/>
        <v>72.929859161376953</v>
      </c>
      <c r="G40" s="4">
        <f>1629129325.33517-1629129325.26184</f>
        <v>7.3329925537109375E-2</v>
      </c>
      <c r="H40" s="3">
        <f t="shared" si="16"/>
        <v>73.329925537109375</v>
      </c>
      <c r="J40" s="4">
        <f>1629129325.33562-1629129325.26184</f>
        <v>7.3779821395874023E-2</v>
      </c>
      <c r="K40" s="3">
        <f t="shared" si="17"/>
        <v>73.779821395874023</v>
      </c>
      <c r="M40" s="4">
        <f>1629129325.33627-1629129325.26184</f>
        <v>7.4429988861083984E-2</v>
      </c>
      <c r="N40" s="3">
        <f t="shared" si="18"/>
        <v>74.429988861083984</v>
      </c>
      <c r="S40" s="4">
        <f>1629129653.20155-1629129653.12829</f>
        <v>7.3260068893432617E-2</v>
      </c>
      <c r="T40" s="3">
        <f t="shared" si="19"/>
        <v>73.260068893432617</v>
      </c>
      <c r="V40" s="4">
        <f>1629129653.20088-1629129653.12829</f>
        <v>7.2590112686157227E-2</v>
      </c>
      <c r="W40" s="3">
        <f t="shared" si="20"/>
        <v>72.590112686157227</v>
      </c>
      <c r="Y40" s="4">
        <f>1629129653.20164-1629129653.12829</f>
        <v>7.3349952697753906E-2</v>
      </c>
      <c r="Z40" s="3">
        <f t="shared" si="21"/>
        <v>73.349952697753906</v>
      </c>
      <c r="AB40" s="4">
        <f>1629129653.2027-1629129653.12829</f>
        <v>7.4409961700439453E-2</v>
      </c>
      <c r="AC40" s="3">
        <f t="shared" si="22"/>
        <v>74.409961700439453</v>
      </c>
      <c r="AE40" s="4">
        <f>1629129653.20194-1629129653.12829</f>
        <v>7.3650121688842773E-2</v>
      </c>
      <c r="AF40" s="3">
        <f t="shared" si="23"/>
        <v>73.650121688842773</v>
      </c>
    </row>
    <row r="41" spans="1:32" x14ac:dyDescent="0.3">
      <c r="A41" s="4">
        <f>1629129326.41392-1629129326.34846</f>
        <v>6.5459966659545898E-2</v>
      </c>
      <c r="B41" s="3">
        <f t="shared" si="14"/>
        <v>65.459966659545898</v>
      </c>
      <c r="D41" s="4">
        <f>1629129326.41454-1629129326.34846</f>
        <v>6.6080093383789063E-2</v>
      </c>
      <c r="E41" s="3">
        <f t="shared" si="15"/>
        <v>66.080093383789063</v>
      </c>
      <c r="G41" s="4">
        <f>1629129326.41474-1629129326.34846</f>
        <v>6.6280126571655273E-2</v>
      </c>
      <c r="H41" s="3">
        <f t="shared" si="16"/>
        <v>66.280126571655273</v>
      </c>
      <c r="J41" s="4">
        <f>1629129326.41531-1629129326.34846</f>
        <v>6.6849946975708008E-2</v>
      </c>
      <c r="K41" s="3">
        <f t="shared" si="17"/>
        <v>66.849946975708008</v>
      </c>
      <c r="M41" s="4">
        <f>1629129326.41579-1629129326.34846</f>
        <v>6.7330121994018555E-2</v>
      </c>
      <c r="N41" s="3">
        <f t="shared" si="18"/>
        <v>67.330121994018555</v>
      </c>
      <c r="S41" s="4">
        <f>1629129654.28572-1629129654.21416</f>
        <v>7.1560144424438477E-2</v>
      </c>
      <c r="T41" s="3">
        <f t="shared" si="19"/>
        <v>71.560144424438477</v>
      </c>
      <c r="V41" s="4">
        <f>1629129654.28501-1629129654.21416</f>
        <v>7.0850133895874023E-2</v>
      </c>
      <c r="W41" s="3">
        <f t="shared" si="20"/>
        <v>70.850133895874023</v>
      </c>
      <c r="Y41" s="4">
        <f>1629129654.28565-1629129654.21416</f>
        <v>7.1490049362182617E-2</v>
      </c>
      <c r="Z41" s="3">
        <f t="shared" si="21"/>
        <v>71.490049362182617</v>
      </c>
      <c r="AB41" s="4">
        <f>1629129654.28688-1629129654.21416</f>
        <v>7.2720050811767578E-2</v>
      </c>
      <c r="AC41" s="3">
        <f t="shared" si="22"/>
        <v>72.720050811767578</v>
      </c>
      <c r="AE41" s="4">
        <f>1629129654.28627-1629129654.21416</f>
        <v>7.210993766784668E-2</v>
      </c>
      <c r="AF41" s="3">
        <f t="shared" si="23"/>
        <v>72.10993766784668</v>
      </c>
    </row>
    <row r="42" spans="1:32" x14ac:dyDescent="0.3">
      <c r="A42" s="4">
        <f>1629129327.4987-1629129327.42945</f>
        <v>6.9249868392944336E-2</v>
      </c>
      <c r="B42" s="3">
        <f t="shared" si="14"/>
        <v>69.249868392944336</v>
      </c>
      <c r="D42" s="4">
        <f>1629129327.49937-1629129327.42945</f>
        <v>6.9920063018798828E-2</v>
      </c>
      <c r="E42" s="3">
        <f t="shared" si="15"/>
        <v>69.920063018798828</v>
      </c>
      <c r="G42" s="4">
        <f>1629129327.49942-1629129327.42945</f>
        <v>6.9969892501831055E-2</v>
      </c>
      <c r="H42" s="3">
        <f t="shared" si="16"/>
        <v>69.969892501831055</v>
      </c>
      <c r="J42" s="4">
        <f>1629129327.50004-1629129327.42945</f>
        <v>7.0590019226074219E-2</v>
      </c>
      <c r="K42" s="3">
        <f t="shared" si="17"/>
        <v>70.590019226074219</v>
      </c>
      <c r="M42" s="4">
        <f>1629129327.50061-1629129327.42945</f>
        <v>7.1160078048706055E-2</v>
      </c>
      <c r="N42" s="3">
        <f t="shared" si="18"/>
        <v>71.160078048706055</v>
      </c>
      <c r="S42" s="4">
        <f>1629129655.37413-1629129655.29908</f>
        <v>7.5050115585327148E-2</v>
      </c>
      <c r="T42" s="3">
        <f t="shared" si="19"/>
        <v>75.050115585327148</v>
      </c>
      <c r="V42" s="4">
        <f>1629129655.37348-1629129655.29908</f>
        <v>7.4400186538696289E-2</v>
      </c>
      <c r="W42" s="3">
        <f t="shared" si="20"/>
        <v>74.400186538696289</v>
      </c>
      <c r="Y42" s="4">
        <f>1629129655.3741-1629129655.29908</f>
        <v>7.5020074844360352E-2</v>
      </c>
      <c r="Z42" s="3">
        <f t="shared" si="21"/>
        <v>75.020074844360352</v>
      </c>
      <c r="AB42" s="4">
        <f>1629129655.37482-1629129655.29908</f>
        <v>7.574009895324707E-2</v>
      </c>
      <c r="AC42" s="3">
        <f t="shared" si="22"/>
        <v>75.74009895324707</v>
      </c>
      <c r="AE42" s="4">
        <f>1629129655.3744-1629129655.29908</f>
        <v>7.5320005416870117E-2</v>
      </c>
      <c r="AF42" s="3">
        <f t="shared" si="23"/>
        <v>75.320005416870117</v>
      </c>
    </row>
    <row r="43" spans="1:32" x14ac:dyDescent="0.3">
      <c r="A43" s="4">
        <f>1629129328.58799-1629129328.51356</f>
        <v>7.4429988861083984E-2</v>
      </c>
      <c r="B43" s="3">
        <f t="shared" si="14"/>
        <v>74.429988861083984</v>
      </c>
      <c r="D43" s="4">
        <f>1629129328.58857-1629129328.51356</f>
        <v>7.5010061264038086E-2</v>
      </c>
      <c r="E43" s="3">
        <f t="shared" si="15"/>
        <v>75.010061264038086</v>
      </c>
      <c r="G43" s="4">
        <f>1629129328.58904-1629129328.51356</f>
        <v>7.5479984283447266E-2</v>
      </c>
      <c r="H43" s="3">
        <f t="shared" si="16"/>
        <v>75.479984283447266</v>
      </c>
      <c r="J43" s="4">
        <f>1629129328.58948-1629129328.51356</f>
        <v>7.5919866561889648E-2</v>
      </c>
      <c r="K43" s="3">
        <f t="shared" si="17"/>
        <v>75.919866561889648</v>
      </c>
      <c r="M43" s="4">
        <f>1629129328.59-1629129328.51356</f>
        <v>7.6439857482910156E-2</v>
      </c>
      <c r="N43" s="3">
        <f t="shared" si="18"/>
        <v>76.439857482910156</v>
      </c>
      <c r="S43" s="4">
        <f>1629129656.46179-1629129656.3877</f>
        <v>7.4090003967285156E-2</v>
      </c>
      <c r="T43" s="3">
        <f t="shared" si="19"/>
        <v>74.090003967285156</v>
      </c>
      <c r="V43" s="4">
        <f>1629129656.46114-1629129656.3877</f>
        <v>7.3439836502075195E-2</v>
      </c>
      <c r="W43" s="3">
        <f t="shared" si="20"/>
        <v>73.439836502075195</v>
      </c>
      <c r="Y43" s="4">
        <f>1629129656.46186-1629129656.3877</f>
        <v>7.4159860610961914E-2</v>
      </c>
      <c r="Z43" s="3">
        <f t="shared" si="21"/>
        <v>74.159860610961914</v>
      </c>
      <c r="AB43" s="4">
        <f>1629129656.4627-1629129656.3877</f>
        <v>7.4999809265136719E-2</v>
      </c>
      <c r="AC43" s="3">
        <f t="shared" si="22"/>
        <v>74.999809265136719</v>
      </c>
      <c r="AE43" s="4">
        <f>1629129656.46218-1629129656.3877</f>
        <v>7.4479818344116211E-2</v>
      </c>
      <c r="AF43" s="3">
        <f t="shared" si="23"/>
        <v>74.479818344116211</v>
      </c>
    </row>
    <row r="44" spans="1:32" x14ac:dyDescent="0.3">
      <c r="A44" s="4">
        <f>1629129329.67821-1629129329.6043</f>
        <v>7.3909997940063477E-2</v>
      </c>
      <c r="B44" s="3">
        <f t="shared" si="14"/>
        <v>73.909997940063477</v>
      </c>
      <c r="D44" s="4">
        <f>1629129329.67879-1629129329.6043</f>
        <v>7.4490070343017578E-2</v>
      </c>
      <c r="E44" s="3">
        <f t="shared" si="15"/>
        <v>74.490070343017578</v>
      </c>
      <c r="G44" s="4">
        <f>1629129329.67883-1629129329.6043</f>
        <v>7.4529886245727539E-2</v>
      </c>
      <c r="H44" s="3">
        <f t="shared" si="16"/>
        <v>74.529886245727539</v>
      </c>
      <c r="J44" s="4">
        <f>1629129329.67935-1629129329.6043</f>
        <v>7.5049877166748047E-2</v>
      </c>
      <c r="K44" s="3">
        <f t="shared" si="17"/>
        <v>75.049877166748047</v>
      </c>
      <c r="M44" s="4">
        <f>1629129329.67985-1629129329.6043</f>
        <v>7.5550079345703125E-2</v>
      </c>
      <c r="N44" s="3">
        <f t="shared" si="18"/>
        <v>75.550079345703125</v>
      </c>
      <c r="S44" s="4">
        <f>1629129657.54954-1629129657.47651</f>
        <v>7.3029994964599609E-2</v>
      </c>
      <c r="T44" s="3">
        <f t="shared" si="19"/>
        <v>73.029994964599609</v>
      </c>
      <c r="V44" s="4">
        <f>1629129657.54886-1629129657.47651</f>
        <v>7.2350025177001953E-2</v>
      </c>
      <c r="W44" s="3">
        <f t="shared" si="20"/>
        <v>72.350025177001953</v>
      </c>
      <c r="Y44" s="4">
        <f>1629129657.54946-1629129657.47651</f>
        <v>7.2949886322021484E-2</v>
      </c>
      <c r="Z44" s="3">
        <f t="shared" si="21"/>
        <v>72.949886322021484</v>
      </c>
      <c r="AB44" s="4">
        <f>1629129657.55036-1629129657.47651</f>
        <v>7.3849916458129883E-2</v>
      </c>
      <c r="AC44" s="3">
        <f t="shared" si="22"/>
        <v>73.849916458129883</v>
      </c>
      <c r="AE44" s="4">
        <f>1629129657.54985-1629129657.47651</f>
        <v>7.3339939117431641E-2</v>
      </c>
      <c r="AF44" s="3">
        <f t="shared" si="23"/>
        <v>73.339939117431641</v>
      </c>
    </row>
    <row r="45" spans="1:32" x14ac:dyDescent="0.3">
      <c r="A45" s="4">
        <f>1629129330.76278-1629129330.69312</f>
        <v>6.9659948348999023E-2</v>
      </c>
      <c r="B45" s="3">
        <f t="shared" si="14"/>
        <v>69.659948348999023</v>
      </c>
      <c r="D45" s="4">
        <f>1629129330.76865-1629129330.69312</f>
        <v>7.5530052185058594E-2</v>
      </c>
      <c r="E45" s="3">
        <f t="shared" si="15"/>
        <v>75.530052185058594</v>
      </c>
      <c r="G45" s="4">
        <f>1629129330.76343-1629129330.69312</f>
        <v>7.0310115814208984E-2</v>
      </c>
      <c r="H45" s="3">
        <f t="shared" si="16"/>
        <v>70.310115814208984</v>
      </c>
      <c r="J45" s="4">
        <f>1629129330.76392-1629129330.69312</f>
        <v>7.0800065994262695E-2</v>
      </c>
      <c r="K45" s="3">
        <f t="shared" si="17"/>
        <v>70.800065994262695</v>
      </c>
      <c r="M45" s="4">
        <f>1629129330.76504-1629129330.69312</f>
        <v>7.1919918060302734E-2</v>
      </c>
      <c r="N45" s="3">
        <f t="shared" si="18"/>
        <v>71.919918060302734</v>
      </c>
      <c r="S45" s="4">
        <f>1629129658.6364-1629129658.5623</f>
        <v>7.4100017547607422E-2</v>
      </c>
      <c r="T45" s="3">
        <f t="shared" si="19"/>
        <v>74.100017547607422</v>
      </c>
      <c r="V45" s="4">
        <f>1629129658.63363-1629129658.5623</f>
        <v>7.1330070495605469E-2</v>
      </c>
      <c r="W45" s="3">
        <f t="shared" si="20"/>
        <v>71.330070495605469</v>
      </c>
      <c r="Y45" s="4">
        <f>1629129658.63441-1629129658.5623</f>
        <v>7.210993766784668E-2</v>
      </c>
      <c r="Z45" s="3">
        <f t="shared" si="21"/>
        <v>72.10993766784668</v>
      </c>
      <c r="AB45" s="4">
        <f>1629129658.63856-1629129658.5623</f>
        <v>7.6260089874267578E-2</v>
      </c>
      <c r="AC45" s="3">
        <f t="shared" si="22"/>
        <v>76.260089874267578</v>
      </c>
      <c r="AE45" s="4">
        <f>1629129658.63497-1629129658.5623</f>
        <v>7.266998291015625E-2</v>
      </c>
      <c r="AF45" s="3">
        <f t="shared" si="23"/>
        <v>72.66998291015625</v>
      </c>
    </row>
    <row r="46" spans="1:32" x14ac:dyDescent="0.3">
      <c r="B46" s="2">
        <f>AVERAGE(B36:B45)</f>
        <v>70.551967620849609</v>
      </c>
      <c r="E46" s="2">
        <f>AVERAGE(E36:E45)</f>
        <v>71.687006950378418</v>
      </c>
      <c r="H46" s="2">
        <f>AVERAGE(H36:H45)</f>
        <v>71.367001533508301</v>
      </c>
      <c r="K46" s="2">
        <f>AVERAGE(K36:K45)</f>
        <v>71.861958503723145</v>
      </c>
      <c r="N46" s="2">
        <f>AVERAGE(N36:N45)</f>
        <v>72.52800464630127</v>
      </c>
      <c r="T46" s="2">
        <f>AVERAGE(T36:T45)</f>
        <v>73.14903736114502</v>
      </c>
      <c r="W46" s="2">
        <f>AVERAGE(W36:W45)</f>
        <v>72.247052192687988</v>
      </c>
      <c r="Z46" s="2">
        <f>AVERAGE(Z36:Z45)</f>
        <v>72.913956642150879</v>
      </c>
      <c r="AC46" s="2">
        <f>AVERAGE(AC36:AC45)</f>
        <v>74.229979515075684</v>
      </c>
      <c r="AF46" s="2">
        <f>AVERAGE(AF36:AF45)</f>
        <v>73.304963111877441</v>
      </c>
    </row>
    <row r="48" spans="1:32" x14ac:dyDescent="0.3">
      <c r="A48" s="6" t="s">
        <v>22</v>
      </c>
      <c r="B48" s="6"/>
      <c r="D48" s="6" t="s">
        <v>23</v>
      </c>
      <c r="E48" s="6"/>
      <c r="G48" s="6" t="s">
        <v>24</v>
      </c>
      <c r="H48" s="6"/>
      <c r="J48" s="6" t="s">
        <v>25</v>
      </c>
      <c r="K48" s="6"/>
      <c r="M48" s="6" t="s">
        <v>26</v>
      </c>
      <c r="N48" s="6"/>
      <c r="S48" s="6" t="s">
        <v>22</v>
      </c>
      <c r="T48" s="6"/>
      <c r="V48" s="6" t="s">
        <v>23</v>
      </c>
      <c r="W48" s="6"/>
      <c r="Y48" s="6" t="s">
        <v>24</v>
      </c>
      <c r="Z48" s="6"/>
      <c r="AB48" s="6" t="s">
        <v>25</v>
      </c>
      <c r="AC48" s="6"/>
      <c r="AE48" s="6" t="s">
        <v>26</v>
      </c>
      <c r="AF48" s="6"/>
    </row>
    <row r="49" spans="1:32" ht="45" customHeight="1" x14ac:dyDescent="0.3">
      <c r="A49" s="8" t="s">
        <v>62</v>
      </c>
      <c r="B49" s="8"/>
      <c r="D49" s="8" t="s">
        <v>62</v>
      </c>
      <c r="E49" s="8"/>
      <c r="G49" s="8" t="s">
        <v>62</v>
      </c>
      <c r="H49" s="8"/>
      <c r="J49" s="8" t="s">
        <v>62</v>
      </c>
      <c r="K49" s="8"/>
      <c r="M49" s="8" t="s">
        <v>62</v>
      </c>
      <c r="N49" s="8"/>
      <c r="S49" s="8" t="s">
        <v>63</v>
      </c>
      <c r="T49" s="8"/>
      <c r="V49" s="8" t="s">
        <v>63</v>
      </c>
      <c r="W49" s="8"/>
      <c r="Y49" s="8" t="s">
        <v>63</v>
      </c>
      <c r="Z49" s="8"/>
      <c r="AB49" s="8" t="s">
        <v>63</v>
      </c>
      <c r="AC49" s="8"/>
      <c r="AE49" s="8" t="s">
        <v>63</v>
      </c>
      <c r="AF49" s="8"/>
    </row>
    <row r="50" spans="1:32" x14ac:dyDescent="0.3">
      <c r="A50" s="1" t="s">
        <v>1</v>
      </c>
      <c r="B50" s="1" t="s">
        <v>0</v>
      </c>
      <c r="D50" s="1" t="s">
        <v>1</v>
      </c>
      <c r="E50" s="1" t="s">
        <v>0</v>
      </c>
      <c r="G50" s="1" t="s">
        <v>1</v>
      </c>
      <c r="H50" s="1" t="s">
        <v>0</v>
      </c>
      <c r="J50" s="1" t="s">
        <v>1</v>
      </c>
      <c r="K50" s="1" t="s">
        <v>0</v>
      </c>
      <c r="M50" s="1" t="s">
        <v>1</v>
      </c>
      <c r="N50" s="1" t="s">
        <v>0</v>
      </c>
      <c r="S50" s="1" t="s">
        <v>1</v>
      </c>
      <c r="T50" s="1" t="s">
        <v>0</v>
      </c>
      <c r="V50" s="1" t="s">
        <v>1</v>
      </c>
      <c r="W50" s="1" t="s">
        <v>0</v>
      </c>
      <c r="Y50" s="1" t="s">
        <v>1</v>
      </c>
      <c r="Z50" s="1" t="s">
        <v>0</v>
      </c>
      <c r="AB50" s="1" t="s">
        <v>1</v>
      </c>
      <c r="AC50" s="1" t="s">
        <v>0</v>
      </c>
      <c r="AE50" s="1" t="s">
        <v>1</v>
      </c>
      <c r="AF50" s="1" t="s">
        <v>0</v>
      </c>
    </row>
    <row r="51" spans="1:32" x14ac:dyDescent="0.3">
      <c r="A51" s="4">
        <f>1629129320.99726-1629129320.92265</f>
        <v>7.4609994888305664E-2</v>
      </c>
      <c r="B51" s="3">
        <f>A51*1000</f>
        <v>74.609994888305664</v>
      </c>
      <c r="D51" s="4">
        <f>1629129320.99765-1629129320.92265</f>
        <v>7.4999809265136719E-2</v>
      </c>
      <c r="E51" s="3">
        <f>D51*1000</f>
        <v>74.999809265136719</v>
      </c>
      <c r="G51" s="4">
        <f>1629129320.99891-1629129320.92265</f>
        <v>7.6259851455688477E-2</v>
      </c>
      <c r="H51" s="3">
        <f>G51*1000</f>
        <v>76.259851455688477</v>
      </c>
      <c r="J51" s="4">
        <f>1629129320.9991-1629129320.92265</f>
        <v>7.6449871063232422E-2</v>
      </c>
      <c r="K51" s="3">
        <f>J51*1000</f>
        <v>76.449871063232422</v>
      </c>
      <c r="M51" s="4">
        <f>1629129320.99813-1629129320.92265</f>
        <v>7.5479984283447266E-2</v>
      </c>
      <c r="N51" s="3">
        <f>M51*1000</f>
        <v>75.479984283447266</v>
      </c>
      <c r="S51" s="4">
        <f>1629129648.86065-1629129648.78612</f>
        <v>7.4530124664306641E-2</v>
      </c>
      <c r="T51" s="3">
        <f>S51*1000</f>
        <v>74.530124664306641</v>
      </c>
      <c r="V51" s="4">
        <f>1629129648.85954-1629129648.78612</f>
        <v>7.3420047760009766E-2</v>
      </c>
      <c r="W51" s="3">
        <f>V51*1000</f>
        <v>73.420047760009766</v>
      </c>
      <c r="Y51" s="4">
        <f>1629129648.8601-1629129648.78612</f>
        <v>7.3980093002319336E-2</v>
      </c>
      <c r="Z51" s="3">
        <f>Y51*1000</f>
        <v>73.980093002319336</v>
      </c>
      <c r="AB51" s="4">
        <f>1629129648.86035-1629129648.78612</f>
        <v>7.4229955673217773E-2</v>
      </c>
      <c r="AC51" s="3">
        <f>AB51*1000</f>
        <v>74.229955673217773</v>
      </c>
      <c r="AE51" s="4">
        <f>1629129648.86086-1629129648.78612</f>
        <v>7.4740171432495117E-2</v>
      </c>
      <c r="AF51" s="3">
        <f>AE51*1000</f>
        <v>74.740171432495117</v>
      </c>
    </row>
    <row r="52" spans="1:32" x14ac:dyDescent="0.3">
      <c r="A52" s="4">
        <f>1629129322.08449-1629129322.00981</f>
        <v>7.4680089950561523E-2</v>
      </c>
      <c r="B52" s="3">
        <f t="shared" ref="B52:B60" si="24">A52*1000</f>
        <v>74.680089950561523</v>
      </c>
      <c r="D52" s="4">
        <f>1629129322.08485-1629129322.00981</f>
        <v>7.5040102005004883E-2</v>
      </c>
      <c r="E52" s="3">
        <f t="shared" ref="E52:E60" si="25">D52*1000</f>
        <v>75.040102005004883</v>
      </c>
      <c r="G52" s="4">
        <f>1629129322.08612-1629129322.00981</f>
        <v>7.6309919357299805E-2</v>
      </c>
      <c r="H52" s="3">
        <f t="shared" ref="H52:H60" si="26">G52*1000</f>
        <v>76.309919357299805</v>
      </c>
      <c r="J52" s="4">
        <f>1629129322.08622-1629129322.00981</f>
        <v>7.6410055160522461E-2</v>
      </c>
      <c r="K52" s="3">
        <f t="shared" ref="K52:K60" si="27">J52*1000</f>
        <v>76.410055160522461</v>
      </c>
      <c r="M52" s="4">
        <f>1629129322.08532-1629129322.00981</f>
        <v>7.5510025024414063E-2</v>
      </c>
      <c r="N52" s="3">
        <f t="shared" ref="N52:N60" si="28">M52*1000</f>
        <v>75.510025024414063</v>
      </c>
      <c r="S52" s="4">
        <f>1629129649.94376-1629129649.87083</f>
        <v>7.2929859161376953E-2</v>
      </c>
      <c r="T52" s="3">
        <f t="shared" ref="T52:T60" si="29">S52*1000</f>
        <v>72.929859161376953</v>
      </c>
      <c r="V52" s="4">
        <f>1629129649.94296-1629129649.87083</f>
        <v>7.2129964828491211E-2</v>
      </c>
      <c r="W52" s="3">
        <f t="shared" ref="W52:W60" si="30">V52*1000</f>
        <v>72.129964828491211</v>
      </c>
      <c r="Y52" s="4">
        <f>1629129649.94388-1629129649.87083</f>
        <v>7.3050022125244141E-2</v>
      </c>
      <c r="Z52" s="3">
        <f t="shared" ref="Z52:Z60" si="31">Y52*1000</f>
        <v>73.050022125244141</v>
      </c>
      <c r="AB52" s="4">
        <f>1629129649.94455-1629129649.87083</f>
        <v>7.3719978332519531E-2</v>
      </c>
      <c r="AC52" s="3">
        <f t="shared" ref="AC52:AC60" si="32">AB52*1000</f>
        <v>73.719978332519531</v>
      </c>
      <c r="AE52" s="4">
        <f>1629129649.94503-1629129649.87083</f>
        <v>7.4199914932250977E-2</v>
      </c>
      <c r="AF52" s="3">
        <f t="shared" ref="AF52:AF60" si="33">AE52*1000</f>
        <v>74.199914932250977</v>
      </c>
    </row>
    <row r="53" spans="1:32" x14ac:dyDescent="0.3">
      <c r="A53" s="4">
        <f>1629129323.16381-1629129323.09614</f>
        <v>6.7670106887817383E-2</v>
      </c>
      <c r="B53" s="3">
        <f t="shared" si="24"/>
        <v>67.670106887817383</v>
      </c>
      <c r="D53" s="4">
        <f>1629129323.16427-1629129323.09614</f>
        <v>6.8130016326904297E-2</v>
      </c>
      <c r="E53" s="3">
        <f t="shared" si="25"/>
        <v>68.130016326904297</v>
      </c>
      <c r="G53" s="4">
        <f>1629129323.16562-1629129323.09614</f>
        <v>6.9480180740356445E-2</v>
      </c>
      <c r="H53" s="3">
        <f t="shared" si="26"/>
        <v>69.480180740356445</v>
      </c>
      <c r="J53" s="4">
        <f>1629129323.16567-1629129323.09614</f>
        <v>6.9530010223388672E-2</v>
      </c>
      <c r="K53" s="3">
        <f t="shared" si="27"/>
        <v>69.530010223388672</v>
      </c>
      <c r="M53" s="4">
        <f>1629129323.16473-1629129323.09614</f>
        <v>6.8590164184570313E-2</v>
      </c>
      <c r="N53" s="3">
        <f t="shared" si="28"/>
        <v>68.590164184570313</v>
      </c>
      <c r="S53" s="4">
        <f>1629129651.03179-1629129650.95537</f>
        <v>7.6420068740844727E-2</v>
      </c>
      <c r="T53" s="3">
        <f t="shared" si="29"/>
        <v>76.420068740844727</v>
      </c>
      <c r="V53" s="4">
        <f>1629129651.03048-1629129650.95537</f>
        <v>7.5109958648681641E-2</v>
      </c>
      <c r="W53" s="3">
        <f t="shared" si="30"/>
        <v>75.109958648681641</v>
      </c>
      <c r="Y53" s="4">
        <f>1629129651.03105-1629129650.95537</f>
        <v>7.5680017471313477E-2</v>
      </c>
      <c r="Z53" s="3">
        <f t="shared" si="31"/>
        <v>75.680017471313477</v>
      </c>
      <c r="AB53" s="4">
        <f>1629129651.03131-1629129650.95537</f>
        <v>7.5940132141113281E-2</v>
      </c>
      <c r="AC53" s="3">
        <f t="shared" si="32"/>
        <v>75.940132141113281</v>
      </c>
      <c r="AE53" s="4">
        <f>1629129651.03185-1629129650.95537</f>
        <v>7.648015022277832E-2</v>
      </c>
      <c r="AF53" s="3">
        <f t="shared" si="33"/>
        <v>76.48015022277832</v>
      </c>
    </row>
    <row r="54" spans="1:32" x14ac:dyDescent="0.3">
      <c r="A54" s="4">
        <f>1629129324.24834-1629129324.17571</f>
        <v>7.2629928588867188E-2</v>
      </c>
      <c r="B54" s="3">
        <f t="shared" si="24"/>
        <v>72.629928588867188</v>
      </c>
      <c r="D54" s="4">
        <f>1629129324.24872-1629129324.17571</f>
        <v>7.3009967803955078E-2</v>
      </c>
      <c r="E54" s="3">
        <f t="shared" si="25"/>
        <v>73.009967803955078</v>
      </c>
      <c r="G54" s="4">
        <f>1629129324.24981-1629129324.17571</f>
        <v>7.4100017547607422E-2</v>
      </c>
      <c r="H54" s="3">
        <f t="shared" si="26"/>
        <v>74.100017547607422</v>
      </c>
      <c r="J54" s="4">
        <f>1629129324.25009-1629129324.17571</f>
        <v>7.4379920959472656E-2</v>
      </c>
      <c r="K54" s="3">
        <f t="shared" si="27"/>
        <v>74.379920959472656</v>
      </c>
      <c r="M54" s="4">
        <f>1629129324.24918-1629129324.17571</f>
        <v>7.3470115661621094E-2</v>
      </c>
      <c r="N54" s="3">
        <f t="shared" si="28"/>
        <v>73.470115661621094</v>
      </c>
      <c r="S54" s="4">
        <f>1629129652.11734-1629129652.04216</f>
        <v>7.51800537109375E-2</v>
      </c>
      <c r="T54" s="3">
        <f t="shared" si="29"/>
        <v>75.1800537109375</v>
      </c>
      <c r="V54" s="4">
        <f>1629129652.11604-1629129652.04216</f>
        <v>7.387995719909668E-2</v>
      </c>
      <c r="W54" s="3">
        <f t="shared" si="30"/>
        <v>73.87995719909668</v>
      </c>
      <c r="Y54" s="4">
        <f>1629129652.11675-1629129652.04216</f>
        <v>7.4589967727661133E-2</v>
      </c>
      <c r="Z54" s="3">
        <f t="shared" si="31"/>
        <v>74.589967727661133</v>
      </c>
      <c r="AB54" s="4">
        <f>1629129652.1172-1629129652.04216</f>
        <v>7.5039863586425781E-2</v>
      </c>
      <c r="AC54" s="3">
        <f t="shared" si="32"/>
        <v>75.039863586425781</v>
      </c>
      <c r="AE54" s="4">
        <f>1629129652.1176-1629129652.04216</f>
        <v>7.5439929962158203E-2</v>
      </c>
      <c r="AF54" s="3">
        <f t="shared" si="33"/>
        <v>75.439929962158203</v>
      </c>
    </row>
    <row r="55" spans="1:32" x14ac:dyDescent="0.3">
      <c r="A55" s="4">
        <f>1629129325.33673-1629129325.26184</f>
        <v>7.4889898300170898E-2</v>
      </c>
      <c r="B55" s="3">
        <f t="shared" si="24"/>
        <v>74.889898300170898</v>
      </c>
      <c r="D55" s="4">
        <f>1629129325.33715-1629129325.26184</f>
        <v>7.5309991836547852E-2</v>
      </c>
      <c r="E55" s="3">
        <f t="shared" si="25"/>
        <v>75.309991836547852</v>
      </c>
      <c r="G55" s="4">
        <f>1629129325.33821-1629129325.26184</f>
        <v>7.6370000839233398E-2</v>
      </c>
      <c r="H55" s="3">
        <f t="shared" si="26"/>
        <v>76.370000839233398</v>
      </c>
      <c r="J55" s="4">
        <f>1629129325.33884-1629129325.26184</f>
        <v>7.6999902725219727E-2</v>
      </c>
      <c r="K55" s="3">
        <f t="shared" si="27"/>
        <v>76.999902725219727</v>
      </c>
      <c r="M55" s="4">
        <f>1629129325.33769-1629129325.26184</f>
        <v>7.5850009918212891E-2</v>
      </c>
      <c r="N55" s="3">
        <f t="shared" si="28"/>
        <v>75.850009918212891</v>
      </c>
      <c r="S55" s="4">
        <f>1629129653.20401-1629129653.12829</f>
        <v>7.5720071792602539E-2</v>
      </c>
      <c r="T55" s="3">
        <f t="shared" si="29"/>
        <v>75.720071792602539</v>
      </c>
      <c r="V55" s="4">
        <f>1629129653.20274-1629129653.12829</f>
        <v>7.4450016021728516E-2</v>
      </c>
      <c r="W55" s="3">
        <f t="shared" si="30"/>
        <v>74.450016021728516</v>
      </c>
      <c r="Y55" s="4">
        <f>1629129653.2033-1629129653.12829</f>
        <v>7.5010061264038086E-2</v>
      </c>
      <c r="Z55" s="3">
        <f t="shared" si="31"/>
        <v>75.010061264038086</v>
      </c>
      <c r="AB55" s="4">
        <f>1629129653.20361-1629129653.12829</f>
        <v>7.5320005416870117E-2</v>
      </c>
      <c r="AC55" s="3">
        <f t="shared" si="32"/>
        <v>75.320005416870117</v>
      </c>
      <c r="AE55" s="4">
        <f>1629129653.20405-1629129653.12829</f>
        <v>7.5760126113891602E-2</v>
      </c>
      <c r="AF55" s="3">
        <f t="shared" si="33"/>
        <v>75.760126113891602</v>
      </c>
    </row>
    <row r="56" spans="1:32" x14ac:dyDescent="0.3">
      <c r="A56" s="4">
        <f>1629129326.41626-1629129326.34846</f>
        <v>6.7800045013427734E-2</v>
      </c>
      <c r="B56" s="3">
        <f t="shared" si="24"/>
        <v>67.800045013427734</v>
      </c>
      <c r="D56" s="4">
        <f>1629129326.41665-1629129326.34846</f>
        <v>6.8190097808837891E-2</v>
      </c>
      <c r="E56" s="3">
        <f t="shared" si="25"/>
        <v>68.190097808837891</v>
      </c>
      <c r="G56" s="4">
        <f>1629129326.41794-1629129326.34846</f>
        <v>6.9479942321777344E-2</v>
      </c>
      <c r="H56" s="3">
        <f t="shared" si="26"/>
        <v>69.479942321777344</v>
      </c>
      <c r="J56" s="4">
        <f>1629129326.41841-1629129326.34846</f>
        <v>6.9950103759765625E-2</v>
      </c>
      <c r="K56" s="3">
        <f t="shared" si="27"/>
        <v>69.950103759765625</v>
      </c>
      <c r="M56" s="4">
        <f>1629129326.41728-1629129326.34846</f>
        <v>6.8819999694824219E-2</v>
      </c>
      <c r="N56" s="3">
        <f t="shared" si="28"/>
        <v>68.819999694824219</v>
      </c>
      <c r="S56" s="4">
        <f>1629129654.28798-1629129654.21416</f>
        <v>7.3820114135742188E-2</v>
      </c>
      <c r="T56" s="3">
        <f t="shared" si="29"/>
        <v>73.820114135742188</v>
      </c>
      <c r="V56" s="4">
        <f>1629129654.28702-1629129654.21416</f>
        <v>7.2860002517700195E-2</v>
      </c>
      <c r="W56" s="3">
        <f t="shared" si="30"/>
        <v>72.860002517700195</v>
      </c>
      <c r="Y56" s="4">
        <f>1629129654.28758-1629129654.21416</f>
        <v>7.3420047760009766E-2</v>
      </c>
      <c r="Z56" s="3">
        <f t="shared" si="31"/>
        <v>73.420047760009766</v>
      </c>
      <c r="AB56" s="4">
        <f>1629129654.28813-1629129654.21416</f>
        <v>7.397007942199707E-2</v>
      </c>
      <c r="AC56" s="3">
        <f t="shared" si="32"/>
        <v>73.97007942199707</v>
      </c>
      <c r="AE56" s="4">
        <f>1629129654.28847-1629129654.21416</f>
        <v>7.4310064315795898E-2</v>
      </c>
      <c r="AF56" s="3">
        <f t="shared" si="33"/>
        <v>74.310064315795898</v>
      </c>
    </row>
    <row r="57" spans="1:32" x14ac:dyDescent="0.3">
      <c r="A57" s="4">
        <f>1629129327.50092-1629129327.42945</f>
        <v>7.1470022201538086E-2</v>
      </c>
      <c r="B57" s="3">
        <f t="shared" si="24"/>
        <v>71.470022201538086</v>
      </c>
      <c r="D57" s="4">
        <f>1629129327.50125-1629129327.42945</f>
        <v>7.1799993515014648E-2</v>
      </c>
      <c r="E57" s="3">
        <f t="shared" si="25"/>
        <v>71.799993515014648</v>
      </c>
      <c r="G57" s="4">
        <f>1629129327.50247-1629129327.42945</f>
        <v>7.3019981384277344E-2</v>
      </c>
      <c r="H57" s="3">
        <f t="shared" si="26"/>
        <v>73.019981384277344</v>
      </c>
      <c r="J57" s="4">
        <f>1629129327.50306-1629129327.42945</f>
        <v>7.3610067367553711E-2</v>
      </c>
      <c r="K57" s="3">
        <f t="shared" si="27"/>
        <v>73.610067367553711</v>
      </c>
      <c r="M57" s="4">
        <f>1629129327.50177-1629129327.42945</f>
        <v>7.2319984436035156E-2</v>
      </c>
      <c r="N57" s="3">
        <f t="shared" si="28"/>
        <v>72.319984436035156</v>
      </c>
      <c r="S57" s="4">
        <f>1629129655.37562-1629129655.29908</f>
        <v>7.6539993286132813E-2</v>
      </c>
      <c r="T57" s="3">
        <f t="shared" si="29"/>
        <v>76.539993286132813</v>
      </c>
      <c r="V57" s="4">
        <f>1629129655.37527-1629129655.29908</f>
        <v>7.6189994812011719E-2</v>
      </c>
      <c r="W57" s="3">
        <f t="shared" si="30"/>
        <v>76.189994812011719</v>
      </c>
      <c r="Y57" s="4">
        <f>1629129655.37587-1629129655.29908</f>
        <v>7.6790094375610352E-2</v>
      </c>
      <c r="Z57" s="3">
        <f t="shared" si="31"/>
        <v>76.790094375610352</v>
      </c>
      <c r="AB57" s="4">
        <f>1629129655.37638-1629129655.29908</f>
        <v>7.7300071716308594E-2</v>
      </c>
      <c r="AC57" s="3">
        <f t="shared" si="32"/>
        <v>77.300071716308594</v>
      </c>
      <c r="AE57" s="4">
        <f>1629129655.37661-1629129655.29908</f>
        <v>7.7530145645141602E-2</v>
      </c>
      <c r="AF57" s="3">
        <f t="shared" si="33"/>
        <v>77.530145645141602</v>
      </c>
    </row>
    <row r="58" spans="1:32" x14ac:dyDescent="0.3">
      <c r="A58" s="4">
        <f>1629129328.59039-1629129328.51356</f>
        <v>7.6829910278320313E-2</v>
      </c>
      <c r="B58" s="3">
        <f t="shared" si="24"/>
        <v>76.829910278320313</v>
      </c>
      <c r="D58" s="4">
        <f>1629129328.59071-1629129328.51356</f>
        <v>7.7149868011474609E-2</v>
      </c>
      <c r="E58" s="3">
        <f t="shared" si="25"/>
        <v>77.149868011474609</v>
      </c>
      <c r="G58" s="4">
        <f>1629129328.59185-1629129328.51356</f>
        <v>7.8289985656738281E-2</v>
      </c>
      <c r="H58" s="3">
        <f t="shared" si="26"/>
        <v>78.289985656738281</v>
      </c>
      <c r="J58" s="4">
        <f>1629129328.59236-1629129328.51356</f>
        <v>7.8799962997436523E-2</v>
      </c>
      <c r="K58" s="3">
        <f t="shared" si="27"/>
        <v>78.799962997436523</v>
      </c>
      <c r="M58" s="4">
        <f>1629129328.59119-1629129328.51356</f>
        <v>7.7630043029785156E-2</v>
      </c>
      <c r="N58" s="3">
        <f t="shared" si="28"/>
        <v>77.630043029785156</v>
      </c>
      <c r="S58" s="4">
        <f>1629129656.46331-1629129656.3877</f>
        <v>7.5609922409057617E-2</v>
      </c>
      <c r="T58" s="3">
        <f t="shared" si="29"/>
        <v>75.609922409057617</v>
      </c>
      <c r="V58" s="4">
        <f>1629129656.463-1629129656.3877</f>
        <v>7.5299978256225586E-2</v>
      </c>
      <c r="W58" s="3">
        <f t="shared" si="30"/>
        <v>75.299978256225586</v>
      </c>
      <c r="Y58" s="4">
        <f>1629129656.46379-1629129656.3877</f>
        <v>7.6089859008789063E-2</v>
      </c>
      <c r="Z58" s="3">
        <f t="shared" si="31"/>
        <v>76.089859008789063</v>
      </c>
      <c r="AB58" s="4">
        <f>1629129656.46433-1629129656.3877</f>
        <v>7.6629877090454102E-2</v>
      </c>
      <c r="AC58" s="3">
        <f t="shared" si="32"/>
        <v>76.629877090454102</v>
      </c>
      <c r="AE58" s="4">
        <f>1629129656.46447-1629129656.3877</f>
        <v>7.6769828796386719E-2</v>
      </c>
      <c r="AF58" s="3">
        <f t="shared" si="33"/>
        <v>76.769828796386719</v>
      </c>
    </row>
    <row r="59" spans="1:32" x14ac:dyDescent="0.3">
      <c r="A59" s="4">
        <f>1629129329.67998-1629129329.6043</f>
        <v>7.5680017471313477E-2</v>
      </c>
      <c r="B59" s="3">
        <f t="shared" si="24"/>
        <v>75.680017471313477</v>
      </c>
      <c r="D59" s="4">
        <f>1629129329.68034-1629129329.6043</f>
        <v>7.6040029525756836E-2</v>
      </c>
      <c r="E59" s="3">
        <f t="shared" si="25"/>
        <v>76.040029525756836</v>
      </c>
      <c r="G59" s="4">
        <f>1629129329.68134-1629129329.6043</f>
        <v>7.7039957046508789E-2</v>
      </c>
      <c r="H59" s="3">
        <f t="shared" si="26"/>
        <v>77.039957046508789</v>
      </c>
      <c r="J59" s="4">
        <f>1629129329.68197-1629129329.6043</f>
        <v>7.7669858932495117E-2</v>
      </c>
      <c r="K59" s="3">
        <f t="shared" si="27"/>
        <v>77.669858932495117</v>
      </c>
      <c r="M59" s="4">
        <f>1629129329.68079-1629129329.6043</f>
        <v>7.6489925384521484E-2</v>
      </c>
      <c r="N59" s="3">
        <f t="shared" si="28"/>
        <v>76.489925384521484</v>
      </c>
      <c r="S59" s="4">
        <f>1629129657.55088-1629129657.47651</f>
        <v>7.4369907379150391E-2</v>
      </c>
      <c r="T59" s="3">
        <f t="shared" si="29"/>
        <v>74.369907379150391</v>
      </c>
      <c r="V59" s="4">
        <f>1629129657.55069-1629129657.47651</f>
        <v>7.4179887771606445E-2</v>
      </c>
      <c r="W59" s="3">
        <f t="shared" si="30"/>
        <v>74.179887771606445</v>
      </c>
      <c r="Y59" s="4">
        <f>1629129657.55128-1629129657.47651</f>
        <v>7.4769973754882813E-2</v>
      </c>
      <c r="Z59" s="3">
        <f t="shared" si="31"/>
        <v>74.769973754882813</v>
      </c>
      <c r="AB59" s="4">
        <f>1629129657.55182-1629129657.47651</f>
        <v>7.5309991836547852E-2</v>
      </c>
      <c r="AC59" s="3">
        <f t="shared" si="32"/>
        <v>75.309991836547852</v>
      </c>
      <c r="AE59" s="4">
        <f>1629129657.55205-1629129657.47651</f>
        <v>7.5540065765380859E-2</v>
      </c>
      <c r="AF59" s="3">
        <f t="shared" si="33"/>
        <v>75.540065765380859</v>
      </c>
    </row>
    <row r="60" spans="1:32" x14ac:dyDescent="0.3">
      <c r="A60" s="4">
        <f>1629129330.76456-1629129330.69312</f>
        <v>7.1439981460571289E-2</v>
      </c>
      <c r="B60" s="3">
        <f t="shared" si="24"/>
        <v>71.439981460571289</v>
      </c>
      <c r="D60" s="4">
        <f>1629129330.76492-1629129330.69312</f>
        <v>7.1799993515014648E-2</v>
      </c>
      <c r="E60" s="3">
        <f t="shared" si="25"/>
        <v>71.799993515014648</v>
      </c>
      <c r="G60" s="4">
        <f>1629129330.76939-1629129330.69312</f>
        <v>7.6270103454589844E-2</v>
      </c>
      <c r="H60" s="3">
        <f t="shared" si="26"/>
        <v>76.270103454589844</v>
      </c>
      <c r="J60" s="4">
        <f>1629129330.76637-1629129330.69312</f>
        <v>7.3250055313110352E-2</v>
      </c>
      <c r="K60" s="3">
        <f t="shared" si="27"/>
        <v>73.250055313110352</v>
      </c>
      <c r="M60" s="4">
        <f>1629129330.76535-1629129330.69312</f>
        <v>7.2230100631713867E-2</v>
      </c>
      <c r="N60" s="3">
        <f t="shared" si="28"/>
        <v>72.230100631713867</v>
      </c>
      <c r="S60" s="4">
        <f>1629129658.63595-1629129658.5623</f>
        <v>7.3650121688842773E-2</v>
      </c>
      <c r="T60" s="3">
        <f t="shared" si="29"/>
        <v>73.650121688842773</v>
      </c>
      <c r="V60" s="4">
        <f>1629129658.63572-1629129658.5623</f>
        <v>7.3420047760009766E-2</v>
      </c>
      <c r="W60" s="3">
        <f t="shared" si="30"/>
        <v>73.420047760009766</v>
      </c>
      <c r="Y60" s="4">
        <f>1629129658.64084-1629129658.5623</f>
        <v>7.854008674621582E-2</v>
      </c>
      <c r="Z60" s="3">
        <f t="shared" si="31"/>
        <v>78.54008674621582</v>
      </c>
      <c r="AB60" s="4">
        <f>1629129658.64095-1629129658.5623</f>
        <v>7.8649997711181641E-2</v>
      </c>
      <c r="AC60" s="3">
        <f t="shared" si="32"/>
        <v>78.649997711181641</v>
      </c>
      <c r="AE60" s="4">
        <f>1629129658.63726-1629129658.5623</f>
        <v>7.4959993362426758E-2</v>
      </c>
      <c r="AF60" s="3">
        <f t="shared" si="33"/>
        <v>74.959993362426758</v>
      </c>
    </row>
    <row r="61" spans="1:32" x14ac:dyDescent="0.3">
      <c r="B61" s="2">
        <f>AVERAGE(B51:B60)</f>
        <v>72.769999504089355</v>
      </c>
      <c r="E61" s="2">
        <f>AVERAGE(E51:E60)</f>
        <v>73.146986961364746</v>
      </c>
      <c r="H61" s="2">
        <f>AVERAGE(H51:H60)</f>
        <v>74.661993980407715</v>
      </c>
      <c r="K61" s="2">
        <f>AVERAGE(K51:K60)</f>
        <v>74.704980850219727</v>
      </c>
      <c r="N61" s="2">
        <f>AVERAGE(N51:N60)</f>
        <v>73.639035224914551</v>
      </c>
      <c r="T61" s="2">
        <f>AVERAGE(T51:T60)</f>
        <v>74.877023696899414</v>
      </c>
      <c r="W61" s="2">
        <f>AVERAGE(W51:W60)</f>
        <v>74.093985557556152</v>
      </c>
      <c r="Z61" s="2">
        <f>AVERAGE(Z51:Z60)</f>
        <v>75.192022323608398</v>
      </c>
      <c r="AC61" s="2">
        <f>AVERAGE(AC51:AC60)</f>
        <v>75.610995292663574</v>
      </c>
      <c r="AF61" s="2">
        <f>AVERAGE(AF51:AF60)</f>
        <v>75.573039054870605</v>
      </c>
    </row>
    <row r="63" spans="1:32" x14ac:dyDescent="0.3">
      <c r="A63" s="6" t="s">
        <v>27</v>
      </c>
      <c r="B63" s="6"/>
      <c r="D63" s="6" t="s">
        <v>28</v>
      </c>
      <c r="E63" s="6"/>
      <c r="G63" s="6" t="s">
        <v>29</v>
      </c>
      <c r="H63" s="6"/>
      <c r="J63" s="6" t="s">
        <v>30</v>
      </c>
      <c r="K63" s="6"/>
      <c r="M63" s="6" t="s">
        <v>31</v>
      </c>
      <c r="N63" s="6"/>
      <c r="S63" s="6" t="s">
        <v>27</v>
      </c>
      <c r="T63" s="6"/>
      <c r="V63" s="6" t="s">
        <v>28</v>
      </c>
      <c r="W63" s="6"/>
      <c r="Y63" s="6" t="s">
        <v>29</v>
      </c>
      <c r="Z63" s="6"/>
      <c r="AB63" s="6" t="s">
        <v>30</v>
      </c>
      <c r="AC63" s="6"/>
      <c r="AE63" s="6" t="s">
        <v>31</v>
      </c>
      <c r="AF63" s="6"/>
    </row>
    <row r="64" spans="1:32" ht="45" customHeight="1" x14ac:dyDescent="0.3">
      <c r="A64" s="8" t="s">
        <v>62</v>
      </c>
      <c r="B64" s="8"/>
      <c r="D64" s="8" t="s">
        <v>62</v>
      </c>
      <c r="E64" s="8"/>
      <c r="G64" s="8" t="s">
        <v>62</v>
      </c>
      <c r="H64" s="8"/>
      <c r="J64" s="8" t="s">
        <v>62</v>
      </c>
      <c r="K64" s="8"/>
      <c r="M64" s="8" t="s">
        <v>62</v>
      </c>
      <c r="N64" s="8"/>
      <c r="S64" s="8" t="s">
        <v>63</v>
      </c>
      <c r="T64" s="8"/>
      <c r="V64" s="8" t="s">
        <v>63</v>
      </c>
      <c r="W64" s="8"/>
      <c r="Y64" s="8" t="s">
        <v>63</v>
      </c>
      <c r="Z64" s="8"/>
      <c r="AB64" s="8" t="s">
        <v>63</v>
      </c>
      <c r="AC64" s="8"/>
      <c r="AE64" s="8" t="s">
        <v>63</v>
      </c>
      <c r="AF64" s="8"/>
    </row>
    <row r="65" spans="1:32" x14ac:dyDescent="0.3">
      <c r="A65" s="1" t="s">
        <v>1</v>
      </c>
      <c r="B65" s="1" t="s">
        <v>0</v>
      </c>
      <c r="D65" s="1" t="s">
        <v>1</v>
      </c>
      <c r="E65" s="1" t="s">
        <v>0</v>
      </c>
      <c r="G65" s="1" t="s">
        <v>1</v>
      </c>
      <c r="H65" s="1" t="s">
        <v>0</v>
      </c>
      <c r="J65" s="1" t="s">
        <v>1</v>
      </c>
      <c r="K65" s="1" t="s">
        <v>0</v>
      </c>
      <c r="M65" s="1" t="s">
        <v>1</v>
      </c>
      <c r="N65" s="1" t="s">
        <v>0</v>
      </c>
      <c r="S65" s="1" t="s">
        <v>1</v>
      </c>
      <c r="T65" s="1" t="s">
        <v>0</v>
      </c>
      <c r="V65" s="1" t="s">
        <v>1</v>
      </c>
      <c r="W65" s="1" t="s">
        <v>0</v>
      </c>
      <c r="Y65" s="1" t="s">
        <v>1</v>
      </c>
      <c r="Z65" s="1" t="s">
        <v>0</v>
      </c>
      <c r="AB65" s="1" t="s">
        <v>1</v>
      </c>
      <c r="AC65" s="1" t="s">
        <v>0</v>
      </c>
      <c r="AE65" s="1" t="s">
        <v>1</v>
      </c>
      <c r="AF65" s="1" t="s">
        <v>0</v>
      </c>
    </row>
    <row r="66" spans="1:32" x14ac:dyDescent="0.3">
      <c r="A66" s="4">
        <f>1629129320.9994-1629129320.92265</f>
        <v>7.6749801635742188E-2</v>
      </c>
      <c r="B66" s="3">
        <f>A66*1000</f>
        <v>76.749801635742188</v>
      </c>
      <c r="D66" s="4">
        <f>1629129321.00012-1629129320.92265</f>
        <v>7.7469825744628906E-2</v>
      </c>
      <c r="E66" s="3">
        <f>D66*1000</f>
        <v>77.469825744628906</v>
      </c>
      <c r="G66" s="4">
        <f>1629129321.00017-1629129320.92265</f>
        <v>7.7519893646240234E-2</v>
      </c>
      <c r="H66" s="3">
        <f>G66*1000</f>
        <v>77.519893646240234</v>
      </c>
      <c r="J66" s="4">
        <f>1629129321.00102-1629129320.92265</f>
        <v>7.8369855880737305E-2</v>
      </c>
      <c r="K66" s="3">
        <f>J66*1000</f>
        <v>78.369855880737305</v>
      </c>
      <c r="M66" s="4">
        <f>1629129321.00109-1629129320.92265</f>
        <v>7.8439950942993164E-2</v>
      </c>
      <c r="N66" s="3">
        <f>M66*1000</f>
        <v>78.439950942993164</v>
      </c>
      <c r="S66" s="4">
        <f>1629129648.86256-1629129648.78612</f>
        <v>7.6440095901489258E-2</v>
      </c>
      <c r="T66" s="3">
        <f>S66*1000</f>
        <v>76.440095901489258</v>
      </c>
      <c r="V66" s="4">
        <f>1629129648.86111-1629129648.78612</f>
        <v>7.4990034103393555E-2</v>
      </c>
      <c r="W66" s="3">
        <f>V66*1000</f>
        <v>74.990034103393555</v>
      </c>
      <c r="Y66" s="4">
        <f>1629129648.86185-1629129648.78612</f>
        <v>7.5730085372924805E-2</v>
      </c>
      <c r="Z66" s="3">
        <f>Y66*1000</f>
        <v>75.730085372924805</v>
      </c>
      <c r="AB66" s="4">
        <f>1629129648.86223-1629129648.78612</f>
        <v>7.6110124588012695E-2</v>
      </c>
      <c r="AC66" s="3">
        <f>AB66*1000</f>
        <v>76.110124588012695</v>
      </c>
      <c r="AE66" s="4">
        <f>1629129648.86231-1629129648.78612</f>
        <v>7.6189994812011719E-2</v>
      </c>
      <c r="AF66" s="3">
        <f>AE66*1000</f>
        <v>76.189994812011719</v>
      </c>
    </row>
    <row r="67" spans="1:32" x14ac:dyDescent="0.3">
      <c r="A67" s="4">
        <f>1629129322.08655-1629129322.00981</f>
        <v>7.6740026473999023E-2</v>
      </c>
      <c r="B67" s="3">
        <f t="shared" ref="B67:B75" si="34">A67*1000</f>
        <v>76.740026473999023</v>
      </c>
      <c r="D67" s="4">
        <f>1629129322.08706-1629129322.00981</f>
        <v>7.7250003814697266E-2</v>
      </c>
      <c r="E67" s="3">
        <f t="shared" ref="E67:E75" si="35">D67*1000</f>
        <v>77.250003814697266</v>
      </c>
      <c r="G67" s="4">
        <f>1629129322.08744-1629129322.00981</f>
        <v>7.7630043029785156E-2</v>
      </c>
      <c r="H67" s="3">
        <f t="shared" ref="H67:H75" si="36">G67*1000</f>
        <v>77.630043029785156</v>
      </c>
      <c r="J67" s="4">
        <f>1629129322.08828-1629129322.00981</f>
        <v>7.8469991683959961E-2</v>
      </c>
      <c r="K67" s="3">
        <f t="shared" ref="K67:K75" si="37">J67*1000</f>
        <v>78.469991683959961</v>
      </c>
      <c r="M67" s="4">
        <f>1629129322.08833-1629129322.00981</f>
        <v>7.8520059585571289E-2</v>
      </c>
      <c r="N67" s="3">
        <f t="shared" ref="N67:N75" si="38">M67*1000</f>
        <v>78.520059585571289</v>
      </c>
      <c r="S67" s="4">
        <f>1629129649.94656-1629129649.87083</f>
        <v>7.5729846954345703E-2</v>
      </c>
      <c r="T67" s="3">
        <f t="shared" ref="T67:T75" si="39">S67*1000</f>
        <v>75.729846954345703</v>
      </c>
      <c r="V67" s="4">
        <f>1629129649.9453-1629129649.87083</f>
        <v>7.4470043182373047E-2</v>
      </c>
      <c r="W67" s="3">
        <f t="shared" ref="W67:W75" si="40">V67*1000</f>
        <v>74.470043182373047</v>
      </c>
      <c r="Y67" s="4">
        <f>1629129649.94587-1629129649.87083</f>
        <v>7.5039863586425781E-2</v>
      </c>
      <c r="Z67" s="3">
        <f t="shared" ref="Z67:Z75" si="41">Y67*1000</f>
        <v>75.039863586425781</v>
      </c>
      <c r="AB67" s="4">
        <f>1629129649.94679-1629129649.87083</f>
        <v>7.5959920883178711E-2</v>
      </c>
      <c r="AC67" s="3">
        <f t="shared" ref="AC67:AC75" si="42">AB67*1000</f>
        <v>75.959920883178711</v>
      </c>
      <c r="AE67" s="4">
        <f>1629129649.94679-1629129649.87083</f>
        <v>7.5959920883178711E-2</v>
      </c>
      <c r="AF67" s="3">
        <f t="shared" ref="AF67:AF75" si="43">AE67*1000</f>
        <v>75.959920883178711</v>
      </c>
    </row>
    <row r="68" spans="1:32" x14ac:dyDescent="0.3">
      <c r="A68" s="4">
        <f>1629129323.1658-1629129323.09614</f>
        <v>6.9660186767578125E-2</v>
      </c>
      <c r="B68" s="3">
        <f t="shared" si="34"/>
        <v>69.660186767578125</v>
      </c>
      <c r="D68" s="4">
        <f>1629129323.1663-1629129323.09614</f>
        <v>7.0160150527954102E-2</v>
      </c>
      <c r="E68" s="3">
        <f t="shared" si="35"/>
        <v>70.160150527954102</v>
      </c>
      <c r="G68" s="4">
        <f>1629129323.16645-1629129323.09614</f>
        <v>7.0310115814208984E-2</v>
      </c>
      <c r="H68" s="3">
        <f t="shared" si="36"/>
        <v>70.310115814208984</v>
      </c>
      <c r="J68" s="4">
        <f>1629129323.16739-1629129323.09614</f>
        <v>7.1250200271606445E-2</v>
      </c>
      <c r="K68" s="3">
        <f t="shared" si="37"/>
        <v>71.250200271606445</v>
      </c>
      <c r="M68" s="4">
        <f>1629129323.16709-1629129323.09614</f>
        <v>7.0950031280517578E-2</v>
      </c>
      <c r="N68" s="3">
        <f t="shared" si="38"/>
        <v>70.950031280517578</v>
      </c>
      <c r="S68" s="4">
        <f>1629129651.03322-1629129650.95537</f>
        <v>7.7850103378295898E-2</v>
      </c>
      <c r="T68" s="3">
        <f t="shared" si="39"/>
        <v>77.850103378295898</v>
      </c>
      <c r="V68" s="4">
        <f>1629129651.03195-1629129650.95537</f>
        <v>7.6580047607421875E-2</v>
      </c>
      <c r="W68" s="3">
        <f t="shared" si="40"/>
        <v>76.580047607421875</v>
      </c>
      <c r="Y68" s="4">
        <f>1629129651.0326-1629129650.95537</f>
        <v>7.7229976654052734E-2</v>
      </c>
      <c r="Z68" s="3">
        <f t="shared" si="41"/>
        <v>77.229976654052734</v>
      </c>
      <c r="AB68" s="4">
        <f>1629129651.03314-1629129650.95537</f>
        <v>7.7769994735717773E-2</v>
      </c>
      <c r="AC68" s="3">
        <f t="shared" si="42"/>
        <v>77.769994735717773</v>
      </c>
      <c r="AE68" s="4">
        <f>1629129651.03315-1629129650.95537</f>
        <v>7.7780008316040039E-2</v>
      </c>
      <c r="AF68" s="3">
        <f t="shared" si="43"/>
        <v>77.780008316040039</v>
      </c>
    </row>
    <row r="69" spans="1:32" x14ac:dyDescent="0.3">
      <c r="A69" s="4">
        <f>1629129324.25037-1629129324.17571</f>
        <v>7.4660062789916992E-2</v>
      </c>
      <c r="B69" s="3">
        <f t="shared" si="34"/>
        <v>74.660062789916992</v>
      </c>
      <c r="D69" s="4">
        <f>1629129324.25086-1629129324.17571</f>
        <v>7.5150012969970703E-2</v>
      </c>
      <c r="E69" s="3">
        <f t="shared" si="35"/>
        <v>75.150012969970703</v>
      </c>
      <c r="G69" s="4">
        <f>1629129324.25117-1629129324.17571</f>
        <v>7.5459957122802734E-2</v>
      </c>
      <c r="H69" s="3">
        <f t="shared" si="36"/>
        <v>75.459957122802734</v>
      </c>
      <c r="J69" s="4">
        <f>1629129324.25168-1629129324.17571</f>
        <v>7.5969934463500977E-2</v>
      </c>
      <c r="K69" s="3">
        <f t="shared" si="37"/>
        <v>75.969934463500977</v>
      </c>
      <c r="M69" s="4">
        <f>1629129324.25207-1629129324.17571</f>
        <v>7.6359987258911133E-2</v>
      </c>
      <c r="N69" s="3">
        <f t="shared" si="38"/>
        <v>76.359987258911133</v>
      </c>
      <c r="S69" s="4">
        <f>1629129652.11904-1629129652.04216</f>
        <v>7.6879978179931641E-2</v>
      </c>
      <c r="T69" s="3">
        <f t="shared" si="39"/>
        <v>76.879978179931641</v>
      </c>
      <c r="V69" s="4">
        <f>1629129652.11792-1629129652.04216</f>
        <v>7.57598876953125E-2</v>
      </c>
      <c r="W69" s="3">
        <f t="shared" si="40"/>
        <v>75.7598876953125</v>
      </c>
      <c r="Y69" s="4">
        <f>1629129652.1185-1629129652.04216</f>
        <v>7.6339960098266602E-2</v>
      </c>
      <c r="Z69" s="3">
        <f t="shared" si="41"/>
        <v>76.339960098266602</v>
      </c>
      <c r="AB69" s="4">
        <f>1629129652.11949-1629129652.04216</f>
        <v>7.7329874038696289E-2</v>
      </c>
      <c r="AC69" s="3">
        <f t="shared" si="42"/>
        <v>77.329874038696289</v>
      </c>
      <c r="AE69" s="4">
        <f>1629129652.11933-1629129652.04216</f>
        <v>7.7169895172119141E-2</v>
      </c>
      <c r="AF69" s="3">
        <f t="shared" si="43"/>
        <v>77.169895172119141</v>
      </c>
    </row>
    <row r="70" spans="1:32" x14ac:dyDescent="0.3">
      <c r="A70" s="4">
        <f>1629129325.33891-1629129325.26184</f>
        <v>7.7069997787475586E-2</v>
      </c>
      <c r="B70" s="3">
        <f t="shared" si="34"/>
        <v>77.069997787475586</v>
      </c>
      <c r="D70" s="4">
        <f>1629129325.33941-1629129325.26184</f>
        <v>7.7569961547851563E-2</v>
      </c>
      <c r="E70" s="3">
        <f t="shared" si="35"/>
        <v>77.569961547851563</v>
      </c>
      <c r="G70" s="4">
        <f>1629129325.33973-1629129325.26184</f>
        <v>7.7889919281005859E-2</v>
      </c>
      <c r="H70" s="3">
        <f t="shared" si="36"/>
        <v>77.889919281005859</v>
      </c>
      <c r="J70" s="4">
        <f>1629129325.34027-1629129325.26184</f>
        <v>7.8429937362670898E-2</v>
      </c>
      <c r="K70" s="3">
        <f t="shared" si="37"/>
        <v>78.429937362670898</v>
      </c>
      <c r="M70" s="4">
        <f>1629129325.34072-1629129325.26184</f>
        <v>7.8879833221435547E-2</v>
      </c>
      <c r="N70" s="3">
        <f t="shared" si="38"/>
        <v>78.879833221435547</v>
      </c>
      <c r="S70" s="4">
        <f>1629129653.20563-1629129653.12829</f>
        <v>7.7340126037597656E-2</v>
      </c>
      <c r="T70" s="3">
        <f t="shared" si="39"/>
        <v>77.340126037597656</v>
      </c>
      <c r="V70" s="4">
        <f>1629129653.2043-1629129653.12829</f>
        <v>7.6009988784790039E-2</v>
      </c>
      <c r="W70" s="3">
        <f t="shared" si="40"/>
        <v>76.009988784790039</v>
      </c>
      <c r="Y70" s="4">
        <f>1629129653.20506-1629129653.12829</f>
        <v>7.677006721496582E-2</v>
      </c>
      <c r="Z70" s="3">
        <f t="shared" si="41"/>
        <v>76.77006721496582</v>
      </c>
      <c r="AB70" s="4">
        <f>1629129653.2056-1629129653.12829</f>
        <v>7.7310085296630859E-2</v>
      </c>
      <c r="AC70" s="3">
        <f t="shared" si="42"/>
        <v>77.310085296630859</v>
      </c>
      <c r="AE70" s="4">
        <f>1629129653.20592-1629129653.12829</f>
        <v>7.7630043029785156E-2</v>
      </c>
      <c r="AF70" s="3">
        <f t="shared" si="43"/>
        <v>77.630043029785156</v>
      </c>
    </row>
    <row r="71" spans="1:32" x14ac:dyDescent="0.3">
      <c r="A71" s="4">
        <f>1629129326.41847-1629129326.34846</f>
        <v>7.0009946823120117E-2</v>
      </c>
      <c r="B71" s="3">
        <f t="shared" si="34"/>
        <v>70.009946823120117</v>
      </c>
      <c r="D71" s="4">
        <f>1629129326.41898-1629129326.34846</f>
        <v>7.0519924163818359E-2</v>
      </c>
      <c r="E71" s="3">
        <f t="shared" si="35"/>
        <v>70.519924163818359</v>
      </c>
      <c r="G71" s="4">
        <f>1629129326.41966-1629129326.34846</f>
        <v>7.1200132369995117E-2</v>
      </c>
      <c r="H71" s="3">
        <f t="shared" si="36"/>
        <v>71.200132369995117</v>
      </c>
      <c r="J71" s="4">
        <f>1629129326.42022-1629129326.34846</f>
        <v>7.1759939193725586E-2</v>
      </c>
      <c r="K71" s="3">
        <f t="shared" si="37"/>
        <v>71.759939193725586</v>
      </c>
      <c r="M71" s="4">
        <f>1629129326.42066-1629129326.34846</f>
        <v>7.220005989074707E-2</v>
      </c>
      <c r="N71" s="3">
        <f t="shared" si="38"/>
        <v>72.20005989074707</v>
      </c>
      <c r="S71" s="4">
        <f>1629129654.28996-1629129654.21416</f>
        <v>7.5799942016601563E-2</v>
      </c>
      <c r="T71" s="3">
        <f t="shared" si="39"/>
        <v>75.799942016601563</v>
      </c>
      <c r="V71" s="4">
        <f>1629129654.2888-1629129654.21416</f>
        <v>7.4640035629272461E-2</v>
      </c>
      <c r="W71" s="3">
        <f t="shared" si="40"/>
        <v>74.640035629272461</v>
      </c>
      <c r="Y71" s="4">
        <f>1629129654.28943-1629129654.21416</f>
        <v>7.5269937515258789E-2</v>
      </c>
      <c r="Z71" s="3">
        <f t="shared" si="41"/>
        <v>75.269937515258789</v>
      </c>
      <c r="AB71" s="4">
        <f>1629129654.29007-1629129654.21416</f>
        <v>7.5910091400146484E-2</v>
      </c>
      <c r="AC71" s="3">
        <f t="shared" si="42"/>
        <v>75.910091400146484</v>
      </c>
      <c r="AE71" s="4">
        <f>1629129654.29025-1629129654.21416</f>
        <v>7.6090097427368164E-2</v>
      </c>
      <c r="AF71" s="3">
        <f t="shared" si="43"/>
        <v>76.090097427368164</v>
      </c>
    </row>
    <row r="72" spans="1:32" x14ac:dyDescent="0.3">
      <c r="A72" s="4">
        <f>1629129327.50297-1629129327.42945</f>
        <v>7.351994514465332E-2</v>
      </c>
      <c r="B72" s="3">
        <f t="shared" si="34"/>
        <v>73.51994514465332</v>
      </c>
      <c r="D72" s="4">
        <f>1629129327.50332-1629129327.42945</f>
        <v>7.3869943618774414E-2</v>
      </c>
      <c r="E72" s="3">
        <f t="shared" si="35"/>
        <v>73.869943618774414</v>
      </c>
      <c r="G72" s="4">
        <f>1629129327.504-1629129327.42945</f>
        <v>7.454991340637207E-2</v>
      </c>
      <c r="H72" s="3">
        <f t="shared" si="36"/>
        <v>74.54991340637207</v>
      </c>
      <c r="J72" s="4">
        <f>1629129327.50477-1629129327.42945</f>
        <v>7.5320005416870117E-2</v>
      </c>
      <c r="K72" s="3">
        <f t="shared" si="37"/>
        <v>75.320005416870117</v>
      </c>
      <c r="M72" s="4">
        <f>1629129327.50537-1629129327.42945</f>
        <v>7.5919866561889648E-2</v>
      </c>
      <c r="N72" s="3">
        <f t="shared" si="38"/>
        <v>75.919866561889648</v>
      </c>
      <c r="S72" s="4">
        <f>1629129655.37793-1629129655.29908</f>
        <v>7.8850030899047852E-2</v>
      </c>
      <c r="T72" s="3">
        <f t="shared" si="39"/>
        <v>78.850030899047852</v>
      </c>
      <c r="V72" s="4">
        <f>1629129655.37683-1629129655.29908</f>
        <v>7.7750205993652344E-2</v>
      </c>
      <c r="W72" s="3">
        <f t="shared" si="40"/>
        <v>77.750205993652344</v>
      </c>
      <c r="Y72" s="4">
        <f>1629129655.37738-1629129655.29908</f>
        <v>7.8299999237060547E-2</v>
      </c>
      <c r="Z72" s="3">
        <f t="shared" si="41"/>
        <v>78.299999237060547</v>
      </c>
      <c r="AB72" s="4">
        <f>1629129655.37813-1629129655.29908</f>
        <v>7.9050064086914063E-2</v>
      </c>
      <c r="AC72" s="3">
        <f t="shared" si="42"/>
        <v>79.050064086914063</v>
      </c>
      <c r="AE72" s="4">
        <f>1629129655.37841-1629129655.29908</f>
        <v>7.9330205917358398E-2</v>
      </c>
      <c r="AF72" s="3">
        <f t="shared" si="43"/>
        <v>79.330205917358398</v>
      </c>
    </row>
    <row r="73" spans="1:32" x14ac:dyDescent="0.3">
      <c r="A73" s="4">
        <f>1629129328.59206-1629129328.51356</f>
        <v>7.8500032424926758E-2</v>
      </c>
      <c r="B73" s="3">
        <f t="shared" si="34"/>
        <v>78.500032424926758</v>
      </c>
      <c r="D73" s="4">
        <f>1629129328.59242-1629129328.51356</f>
        <v>7.8860044479370117E-2</v>
      </c>
      <c r="E73" s="3">
        <f t="shared" si="35"/>
        <v>78.860044479370117</v>
      </c>
      <c r="G73" s="4">
        <f>1629129328.59316-1629129328.51356</f>
        <v>7.9599857330322266E-2</v>
      </c>
      <c r="H73" s="3">
        <f t="shared" si="36"/>
        <v>79.599857330322266</v>
      </c>
      <c r="J73" s="4">
        <f>1629129328.59363-1629129328.51356</f>
        <v>8.0070018768310547E-2</v>
      </c>
      <c r="K73" s="3">
        <f t="shared" si="37"/>
        <v>80.070018768310547</v>
      </c>
      <c r="M73" s="4">
        <f>1629129328.59418-1629129328.51356</f>
        <v>8.0620050430297852E-2</v>
      </c>
      <c r="N73" s="3">
        <f t="shared" si="38"/>
        <v>80.620050430297852</v>
      </c>
      <c r="S73" s="4">
        <f>1629129656.46602-1629129656.3877</f>
        <v>7.8320026397705078E-2</v>
      </c>
      <c r="T73" s="3">
        <f t="shared" si="39"/>
        <v>78.320026397705078</v>
      </c>
      <c r="V73" s="4">
        <f>1629129656.46484-1629129656.3877</f>
        <v>7.7139854431152344E-2</v>
      </c>
      <c r="W73" s="3">
        <f t="shared" si="40"/>
        <v>77.139854431152344</v>
      </c>
      <c r="Y73" s="4">
        <f>1629129656.4655-1629129656.3877</f>
        <v>7.780003547668457E-2</v>
      </c>
      <c r="Z73" s="3">
        <f t="shared" si="41"/>
        <v>77.80003547668457</v>
      </c>
      <c r="AB73" s="4">
        <f>1629129656.46632-1629129656.3877</f>
        <v>7.8619956970214844E-2</v>
      </c>
      <c r="AC73" s="3">
        <f t="shared" si="42"/>
        <v>78.619956970214844</v>
      </c>
      <c r="AE73" s="4">
        <f>1629129656.46642-1629129656.3877</f>
        <v>7.8719854354858398E-2</v>
      </c>
      <c r="AF73" s="3">
        <f t="shared" si="43"/>
        <v>78.719854354858398</v>
      </c>
    </row>
    <row r="74" spans="1:32" x14ac:dyDescent="0.3">
      <c r="A74" s="4">
        <f>1629129329.68161-1629129329.6043</f>
        <v>7.7310085296630859E-2</v>
      </c>
      <c r="B74" s="3">
        <f t="shared" si="34"/>
        <v>77.310085296630859</v>
      </c>
      <c r="D74" s="4">
        <f>1629129329.68208-1629129329.6043</f>
        <v>7.7780008316040039E-2</v>
      </c>
      <c r="E74" s="3">
        <f t="shared" si="35"/>
        <v>77.780008316040039</v>
      </c>
      <c r="G74" s="4">
        <f>1629129329.68275-1629129329.6043</f>
        <v>7.844996452331543E-2</v>
      </c>
      <c r="H74" s="3">
        <f t="shared" si="36"/>
        <v>78.44996452331543</v>
      </c>
      <c r="J74" s="4">
        <f>1629129329.6834-1629129329.6043</f>
        <v>7.9099893569946289E-2</v>
      </c>
      <c r="K74" s="3">
        <f t="shared" si="37"/>
        <v>79.099893569946289</v>
      </c>
      <c r="M74" s="4">
        <f>1629129329.6839-1629129329.6043</f>
        <v>7.9600095748901367E-2</v>
      </c>
      <c r="N74" s="3">
        <f t="shared" si="38"/>
        <v>79.600095748901367</v>
      </c>
      <c r="S74" s="4">
        <f>1629129657.55339-1629129657.47651</f>
        <v>7.6879978179931641E-2</v>
      </c>
      <c r="T74" s="3">
        <f t="shared" si="39"/>
        <v>76.879978179931641</v>
      </c>
      <c r="V74" s="4">
        <f>1629129657.55226-1629129657.47651</f>
        <v>7.5749874114990234E-2</v>
      </c>
      <c r="W74" s="3">
        <f t="shared" si="40"/>
        <v>75.749874114990234</v>
      </c>
      <c r="Y74" s="4">
        <f>1629129657.55286-1629129657.47651</f>
        <v>7.6349973678588867E-2</v>
      </c>
      <c r="Z74" s="3">
        <f t="shared" si="41"/>
        <v>76.349973678588867</v>
      </c>
      <c r="AB74" s="4">
        <f>1629129657.55346-1629129657.47651</f>
        <v>7.6949834823608398E-2</v>
      </c>
      <c r="AC74" s="3">
        <f t="shared" si="42"/>
        <v>76.949834823608398</v>
      </c>
      <c r="AE74" s="4">
        <f>1629129657.55334-1629129657.47651</f>
        <v>7.6829910278320313E-2</v>
      </c>
      <c r="AF74" s="3">
        <f t="shared" si="43"/>
        <v>76.829910278320313</v>
      </c>
    </row>
    <row r="75" spans="1:32" x14ac:dyDescent="0.3">
      <c r="A75" s="4">
        <f>1629129330.76633-1629129330.69312</f>
        <v>7.3210000991821289E-2</v>
      </c>
      <c r="B75" s="3">
        <f t="shared" si="34"/>
        <v>73.210000991821289</v>
      </c>
      <c r="D75" s="4">
        <f>1629129330.76669-1629129330.69312</f>
        <v>7.3570013046264648E-2</v>
      </c>
      <c r="E75" s="3">
        <f t="shared" si="35"/>
        <v>73.570013046264648</v>
      </c>
      <c r="G75" s="4">
        <f>1629129330.76778-1629129330.69312</f>
        <v>7.4660062789916992E-2</v>
      </c>
      <c r="H75" s="3">
        <f t="shared" si="36"/>
        <v>74.660062789916992</v>
      </c>
      <c r="J75" s="4">
        <f>1629129330.77131-1629129330.69312</f>
        <v>7.8190088272094727E-2</v>
      </c>
      <c r="K75" s="3">
        <f t="shared" si="37"/>
        <v>78.190088272094727</v>
      </c>
      <c r="M75" s="4">
        <f>1629129330.77125-1629129330.69312</f>
        <v>7.8130006790161133E-2</v>
      </c>
      <c r="N75" s="3">
        <f t="shared" si="38"/>
        <v>78.130006790161133</v>
      </c>
      <c r="S75" s="4">
        <f>1629129658.64422-1629129658.5623</f>
        <v>8.1920146942138672E-2</v>
      </c>
      <c r="T75" s="3">
        <f t="shared" si="39"/>
        <v>81.920146942138672</v>
      </c>
      <c r="V75" s="4">
        <f>1629129658.63751-1629129658.5623</f>
        <v>7.5210094451904297E-2</v>
      </c>
      <c r="W75" s="3">
        <f t="shared" si="40"/>
        <v>75.210094451904297</v>
      </c>
      <c r="Y75" s="4">
        <f>1629129658.64286-1629129658.5623</f>
        <v>8.0559968948364258E-2</v>
      </c>
      <c r="Z75" s="3">
        <f t="shared" si="41"/>
        <v>80.559968948364258</v>
      </c>
      <c r="AB75" s="4">
        <f>1629129658.6391-1629129658.5623</f>
        <v>7.6800107955932617E-2</v>
      </c>
      <c r="AC75" s="3">
        <f t="shared" si="42"/>
        <v>76.800107955932617</v>
      </c>
      <c r="AE75" s="4">
        <f>1629129658.63919-1629129658.5623</f>
        <v>7.6889991760253906E-2</v>
      </c>
      <c r="AF75" s="3">
        <f t="shared" si="43"/>
        <v>76.889991760253906</v>
      </c>
    </row>
    <row r="76" spans="1:32" x14ac:dyDescent="0.3">
      <c r="B76" s="2">
        <f>AVERAGE(B66:B75)</f>
        <v>74.743008613586426</v>
      </c>
      <c r="E76" s="2">
        <f>AVERAGE(E66:E75)</f>
        <v>75.219988822937012</v>
      </c>
      <c r="H76" s="2">
        <f>AVERAGE(H66:H75)</f>
        <v>75.726985931396484</v>
      </c>
      <c r="K76" s="2">
        <f>AVERAGE(K66:K75)</f>
        <v>76.692986488342285</v>
      </c>
      <c r="N76" s="2">
        <f>AVERAGE(N66:N75)</f>
        <v>76.961994171142578</v>
      </c>
      <c r="T76" s="2">
        <f>AVERAGE(T66:T75)</f>
        <v>77.601027488708496</v>
      </c>
      <c r="W76" s="2">
        <f>AVERAGE(W66:W75)</f>
        <v>75.83000659942627</v>
      </c>
      <c r="Z76" s="2">
        <f>AVERAGE(Z66:Z75)</f>
        <v>76.938986778259277</v>
      </c>
      <c r="AC76" s="2">
        <f>AVERAGE(AC66:AC75)</f>
        <v>77.181005477905273</v>
      </c>
      <c r="AF76" s="2">
        <f>AVERAGE(AF66:AF75)</f>
        <v>77.258992195129395</v>
      </c>
    </row>
    <row r="78" spans="1:32" x14ac:dyDescent="0.3">
      <c r="A78" s="6" t="s">
        <v>57</v>
      </c>
      <c r="B78" s="6"/>
      <c r="D78" s="6" t="s">
        <v>58</v>
      </c>
      <c r="E78" s="6"/>
      <c r="G78" s="6" t="s">
        <v>59</v>
      </c>
      <c r="H78" s="6"/>
      <c r="J78" s="6" t="s">
        <v>60</v>
      </c>
      <c r="K78" s="6"/>
      <c r="M78" s="6" t="s">
        <v>61</v>
      </c>
      <c r="N78" s="6"/>
      <c r="S78" s="6" t="s">
        <v>57</v>
      </c>
      <c r="T78" s="6"/>
      <c r="V78" s="6" t="s">
        <v>58</v>
      </c>
      <c r="W78" s="6"/>
      <c r="Y78" s="6" t="s">
        <v>59</v>
      </c>
      <c r="Z78" s="6"/>
      <c r="AB78" s="6" t="s">
        <v>60</v>
      </c>
      <c r="AC78" s="6"/>
      <c r="AE78" s="6" t="s">
        <v>61</v>
      </c>
      <c r="AF78" s="6"/>
    </row>
    <row r="79" spans="1:32" ht="45" customHeight="1" x14ac:dyDescent="0.3">
      <c r="A79" s="8" t="s">
        <v>62</v>
      </c>
      <c r="B79" s="8"/>
      <c r="D79" s="8" t="s">
        <v>62</v>
      </c>
      <c r="E79" s="8"/>
      <c r="G79" s="8" t="s">
        <v>62</v>
      </c>
      <c r="H79" s="8"/>
      <c r="J79" s="8" t="s">
        <v>62</v>
      </c>
      <c r="K79" s="8"/>
      <c r="M79" s="8" t="s">
        <v>62</v>
      </c>
      <c r="N79" s="8"/>
      <c r="S79" s="8" t="s">
        <v>63</v>
      </c>
      <c r="T79" s="8"/>
      <c r="V79" s="8" t="s">
        <v>63</v>
      </c>
      <c r="W79" s="8"/>
      <c r="Y79" s="8" t="s">
        <v>63</v>
      </c>
      <c r="Z79" s="8"/>
      <c r="AB79" s="8" t="s">
        <v>63</v>
      </c>
      <c r="AC79" s="8"/>
      <c r="AE79" s="8" t="s">
        <v>63</v>
      </c>
      <c r="AF79" s="8"/>
    </row>
    <row r="80" spans="1:32" x14ac:dyDescent="0.3">
      <c r="A80" s="1" t="s">
        <v>1</v>
      </c>
      <c r="B80" s="1" t="s">
        <v>0</v>
      </c>
      <c r="D80" s="1" t="s">
        <v>1</v>
      </c>
      <c r="E80" s="1" t="s">
        <v>0</v>
      </c>
      <c r="G80" s="1" t="s">
        <v>1</v>
      </c>
      <c r="H80" s="1" t="s">
        <v>0</v>
      </c>
      <c r="J80" s="1" t="s">
        <v>1</v>
      </c>
      <c r="K80" s="1" t="s">
        <v>0</v>
      </c>
      <c r="M80" s="1" t="s">
        <v>1</v>
      </c>
      <c r="N80" s="1" t="s">
        <v>0</v>
      </c>
      <c r="S80" s="1" t="s">
        <v>1</v>
      </c>
      <c r="T80" s="1" t="s">
        <v>0</v>
      </c>
      <c r="V80" s="1" t="s">
        <v>1</v>
      </c>
      <c r="W80" s="1" t="s">
        <v>0</v>
      </c>
      <c r="Y80" s="1" t="s">
        <v>1</v>
      </c>
      <c r="Z80" s="1" t="s">
        <v>0</v>
      </c>
      <c r="AB80" s="1" t="s">
        <v>1</v>
      </c>
      <c r="AC80" s="1" t="s">
        <v>0</v>
      </c>
      <c r="AE80" s="1" t="s">
        <v>1</v>
      </c>
      <c r="AF80" s="1" t="s">
        <v>0</v>
      </c>
    </row>
    <row r="81" spans="1:32" x14ac:dyDescent="0.3">
      <c r="A81" s="4">
        <f>1629129321.00177-1629129320.92265</f>
        <v>7.911992073059082E-2</v>
      </c>
      <c r="B81" s="3">
        <f>A81*1000</f>
        <v>79.11992073059082</v>
      </c>
      <c r="D81" s="4">
        <f>1629129321.00235-1629129320.92265</f>
        <v>7.9699993133544922E-2</v>
      </c>
      <c r="E81" s="3">
        <f>D81*1000</f>
        <v>79.699993133544922</v>
      </c>
      <c r="G81" s="4">
        <f>1629129321.00179-1629129320.92265</f>
        <v>7.9139947891235352E-2</v>
      </c>
      <c r="H81" s="3">
        <f>G81*1000</f>
        <v>79.139947891235352</v>
      </c>
      <c r="J81" s="4">
        <f>1629129321.00245-1629129320.92265</f>
        <v>7.9799890518188477E-2</v>
      </c>
      <c r="K81" s="3">
        <f>J81*1000</f>
        <v>79.799890518188477</v>
      </c>
      <c r="M81" s="4">
        <f>1629129321.00287-1629129320.92265</f>
        <v>8.021998405456543E-2</v>
      </c>
      <c r="N81" s="3">
        <f>M81*1000</f>
        <v>80.21998405456543</v>
      </c>
      <c r="S81" s="4">
        <f>1629129648.86281-1629129648.78612</f>
        <v>7.6689958572387695E-2</v>
      </c>
      <c r="T81" s="3">
        <f>S81*1000</f>
        <v>76.689958572387695</v>
      </c>
      <c r="V81" s="4">
        <f>1629129648.86296-1629129648.78612</f>
        <v>7.684016227722168E-2</v>
      </c>
      <c r="W81" s="3">
        <f>V81*1000</f>
        <v>76.84016227722168</v>
      </c>
      <c r="Y81" s="4">
        <f>1629129648.86328-1629129648.78612</f>
        <v>7.7160120010375977E-2</v>
      </c>
      <c r="Z81" s="3">
        <f>Y81*1000</f>
        <v>77.160120010375977</v>
      </c>
      <c r="AB81" s="4">
        <f>1629129648.86394-1629129648.78612</f>
        <v>7.7820062637329102E-2</v>
      </c>
      <c r="AC81" s="3">
        <f>AB81*1000</f>
        <v>77.820062637329102</v>
      </c>
      <c r="AE81" s="4">
        <f>1629129648.86405-1629129648.78612</f>
        <v>7.7929973602294922E-2</v>
      </c>
      <c r="AF81" s="3">
        <f>AE81*1000</f>
        <v>77.929973602294922</v>
      </c>
    </row>
    <row r="82" spans="1:32" x14ac:dyDescent="0.3">
      <c r="A82" s="4">
        <f>1629129322.08896-1629129322.00981</f>
        <v>7.9149961471557617E-2</v>
      </c>
      <c r="B82" s="3">
        <f t="shared" ref="B82:B90" si="44">A82*1000</f>
        <v>79.149961471557617</v>
      </c>
      <c r="D82" s="4">
        <f>1629129322.08949-1629129322.00981</f>
        <v>7.9679965972900391E-2</v>
      </c>
      <c r="E82" s="3">
        <f t="shared" ref="E82:E90" si="45">D82*1000</f>
        <v>79.679965972900391</v>
      </c>
      <c r="G82" s="4">
        <f>1629129322.08911-1629129322.00981</f>
        <v>7.92999267578125E-2</v>
      </c>
      <c r="H82" s="3">
        <f t="shared" ref="H82:H90" si="46">G82*1000</f>
        <v>79.2999267578125</v>
      </c>
      <c r="J82" s="4">
        <f>1629129322.08954-1629129322.00981</f>
        <v>7.9730033874511719E-2</v>
      </c>
      <c r="K82" s="3">
        <f t="shared" ref="K82:K90" si="47">J82*1000</f>
        <v>79.730033874511719</v>
      </c>
      <c r="M82" s="4">
        <f>1629129322.09009-1629129322.00981</f>
        <v>8.0280065536499023E-2</v>
      </c>
      <c r="N82" s="3">
        <f t="shared" ref="N82:N90" si="48">M82*1000</f>
        <v>80.280065536499023</v>
      </c>
      <c r="S82" s="4">
        <f>1629129649.94728-1629129649.87083</f>
        <v>7.6449871063232422E-2</v>
      </c>
      <c r="T82" s="3">
        <f t="shared" ref="T82:T90" si="49">S82*1000</f>
        <v>76.449871063232422</v>
      </c>
      <c r="V82" s="4">
        <f>1629129649.9477-1629129649.87083</f>
        <v>7.6869964599609375E-2</v>
      </c>
      <c r="W82" s="3">
        <f t="shared" ref="W82:W90" si="50">V82*1000</f>
        <v>76.869964599609375</v>
      </c>
      <c r="Y82" s="4">
        <f>1629129649.94795-1629129649.87083</f>
        <v>7.7119827270507813E-2</v>
      </c>
      <c r="Z82" s="3">
        <f t="shared" ref="Z82:Z90" si="51">Y82*1000</f>
        <v>77.119827270507813</v>
      </c>
      <c r="AB82" s="4">
        <f>1629129649.9487-1629129649.87083</f>
        <v>7.7869892120361328E-2</v>
      </c>
      <c r="AC82" s="3">
        <f t="shared" ref="AC82:AC90" si="52">AB82*1000</f>
        <v>77.869892120361328</v>
      </c>
      <c r="AE82" s="4">
        <f>1629129649.94893-1629129649.87083</f>
        <v>7.8099966049194336E-2</v>
      </c>
      <c r="AF82" s="3">
        <f t="shared" ref="AF82:AF90" si="53">AE82*1000</f>
        <v>78.099966049194336</v>
      </c>
    </row>
    <row r="83" spans="1:32" x14ac:dyDescent="0.3">
      <c r="A83" s="4">
        <f>1629129323.16737-1629129323.09614</f>
        <v>7.1230173110961914E-2</v>
      </c>
      <c r="B83" s="3">
        <f t="shared" si="44"/>
        <v>71.230173110961914</v>
      </c>
      <c r="D83" s="4">
        <f>1629129323.16824-1629129323.09614</f>
        <v>7.2100162506103516E-2</v>
      </c>
      <c r="E83" s="3">
        <f t="shared" si="45"/>
        <v>72.100162506103516</v>
      </c>
      <c r="G83" s="4">
        <f>1629129323.16751-1629129323.09614</f>
        <v>7.1370124816894531E-2</v>
      </c>
      <c r="H83" s="3">
        <f t="shared" si="46"/>
        <v>71.370124816894531</v>
      </c>
      <c r="J83" s="4">
        <f>1629129323.16792-1629129323.09614</f>
        <v>7.1780204772949219E-2</v>
      </c>
      <c r="K83" s="3">
        <f t="shared" si="47"/>
        <v>71.780204772949219</v>
      </c>
      <c r="M83" s="4">
        <f>1629129323.16863-1629129323.09614</f>
        <v>7.248997688293457E-2</v>
      </c>
      <c r="N83" s="3">
        <f t="shared" si="48"/>
        <v>72.48997688293457</v>
      </c>
      <c r="S83" s="4">
        <f>1629129651.03373-1629129650.95537</f>
        <v>7.8360080718994141E-2</v>
      </c>
      <c r="T83" s="3">
        <f t="shared" si="49"/>
        <v>78.360080718994141</v>
      </c>
      <c r="V83" s="4">
        <f>1629129651.03394-1629129650.95537</f>
        <v>7.8570127487182617E-2</v>
      </c>
      <c r="W83" s="3">
        <f t="shared" si="50"/>
        <v>78.570127487182617</v>
      </c>
      <c r="Y83" s="4">
        <f>1629129651.03429-1629129650.95537</f>
        <v>7.8920125961303711E-2</v>
      </c>
      <c r="Z83" s="3">
        <f t="shared" si="51"/>
        <v>78.920125961303711</v>
      </c>
      <c r="AB83" s="4">
        <f>1629129651.03494-1629129650.95537</f>
        <v>7.957005500793457E-2</v>
      </c>
      <c r="AC83" s="3">
        <f t="shared" si="52"/>
        <v>79.57005500793457</v>
      </c>
      <c r="AE83" s="4">
        <f>1629129651.03488-1629129650.95537</f>
        <v>7.9509973526000977E-2</v>
      </c>
      <c r="AF83" s="3">
        <f t="shared" si="53"/>
        <v>79.509973526000977</v>
      </c>
    </row>
    <row r="84" spans="1:32" x14ac:dyDescent="0.3">
      <c r="A84" s="4">
        <f>1629129324.25266-1629129324.17571</f>
        <v>7.69500732421875E-2</v>
      </c>
      <c r="B84" s="3">
        <f t="shared" si="44"/>
        <v>76.9500732421875</v>
      </c>
      <c r="D84" s="4">
        <f>1629129324.25389-1629129324.17571</f>
        <v>7.8180074691772461E-2</v>
      </c>
      <c r="E84" s="3">
        <f t="shared" si="45"/>
        <v>78.180074691772461</v>
      </c>
      <c r="G84" s="4">
        <f>1629129324.25302-1629129324.17571</f>
        <v>7.7310085296630859E-2</v>
      </c>
      <c r="H84" s="3">
        <f t="shared" si="46"/>
        <v>77.310085296630859</v>
      </c>
      <c r="J84" s="4">
        <f>1629129324.25342-1629129324.17571</f>
        <v>7.7710151672363281E-2</v>
      </c>
      <c r="K84" s="3">
        <f t="shared" si="47"/>
        <v>77.710151672363281</v>
      </c>
      <c r="M84" s="4">
        <f>1629129324.25446-1629129324.17571</f>
        <v>7.8750133514404297E-2</v>
      </c>
      <c r="N84" s="3">
        <f t="shared" si="48"/>
        <v>78.750133514404297</v>
      </c>
      <c r="S84" s="4">
        <f>1629129652.11999-1629129652.04216</f>
        <v>7.7830076217651367E-2</v>
      </c>
      <c r="T84" s="3">
        <f t="shared" si="49"/>
        <v>77.830076217651367</v>
      </c>
      <c r="V84" s="4">
        <f>1629129652.12039-1629129652.04216</f>
        <v>7.8229904174804688E-2</v>
      </c>
      <c r="W84" s="3">
        <f t="shared" si="50"/>
        <v>78.229904174804688</v>
      </c>
      <c r="Y84" s="4">
        <f>1629129652.12068-1629129652.04216</f>
        <v>7.8520059585571289E-2</v>
      </c>
      <c r="Z84" s="3">
        <f t="shared" si="51"/>
        <v>78.520059585571289</v>
      </c>
      <c r="AB84" s="4">
        <f>1629129652.12142-1629129652.04216</f>
        <v>7.9259872436523438E-2</v>
      </c>
      <c r="AC84" s="3">
        <f t="shared" si="52"/>
        <v>79.259872436523438</v>
      </c>
      <c r="AE84" s="4">
        <f>1629129652.1212-1629129652.04216</f>
        <v>7.9040050506591797E-2</v>
      </c>
      <c r="AF84" s="3">
        <f t="shared" si="53"/>
        <v>79.040050506591797</v>
      </c>
    </row>
    <row r="85" spans="1:32" x14ac:dyDescent="0.3">
      <c r="A85" s="4">
        <f>1629129325.3413-1629129325.26184</f>
        <v>7.9459905624389648E-2</v>
      </c>
      <c r="B85" s="3">
        <f t="shared" si="44"/>
        <v>79.459905624389648</v>
      </c>
      <c r="D85" s="4">
        <f>1629129325.34222-1629129325.26184</f>
        <v>8.0379962921142578E-2</v>
      </c>
      <c r="E85" s="3">
        <f t="shared" si="45"/>
        <v>80.379962921142578</v>
      </c>
      <c r="G85" s="4">
        <f>1629129325.34167-1629129325.26184</f>
        <v>7.9829931259155273E-2</v>
      </c>
      <c r="H85" s="3">
        <f t="shared" si="46"/>
        <v>79.829931259155273</v>
      </c>
      <c r="J85" s="4">
        <f>1629129325.34188-1629129325.26184</f>
        <v>8.003997802734375E-2</v>
      </c>
      <c r="K85" s="3">
        <f t="shared" si="47"/>
        <v>80.03997802734375</v>
      </c>
      <c r="M85" s="4">
        <f>1629129325.34263-1629129325.26184</f>
        <v>8.0789804458618164E-2</v>
      </c>
      <c r="N85" s="3">
        <f t="shared" si="48"/>
        <v>80.789804458618164</v>
      </c>
      <c r="S85" s="4">
        <f>1629129653.206-1629129653.12829</f>
        <v>7.7710151672363281E-2</v>
      </c>
      <c r="T85" s="3">
        <f t="shared" si="49"/>
        <v>77.710151672363281</v>
      </c>
      <c r="V85" s="4">
        <f>1629129653.20628-1629129653.12829</f>
        <v>7.7990055084228516E-2</v>
      </c>
      <c r="W85" s="3">
        <f t="shared" si="50"/>
        <v>77.990055084228516</v>
      </c>
      <c r="Y85" s="4">
        <f>1629129653.20672-1629129653.12829</f>
        <v>7.843017578125E-2</v>
      </c>
      <c r="Z85" s="3">
        <f t="shared" si="51"/>
        <v>78.43017578125</v>
      </c>
      <c r="AB85" s="4">
        <f>1629129653.20723-1629129653.12829</f>
        <v>7.8940153121948242E-2</v>
      </c>
      <c r="AC85" s="3">
        <f t="shared" si="52"/>
        <v>78.940153121948242</v>
      </c>
      <c r="AE85" s="4">
        <f>1629129653.2073-1629129653.12829</f>
        <v>7.9010009765625E-2</v>
      </c>
      <c r="AF85" s="3">
        <f t="shared" si="53"/>
        <v>79.010009765625</v>
      </c>
    </row>
    <row r="86" spans="1:32" x14ac:dyDescent="0.3">
      <c r="A86" s="4">
        <f>1629129326.42083-1629129326.34846</f>
        <v>7.2370052337646484E-2</v>
      </c>
      <c r="B86" s="3">
        <f t="shared" si="44"/>
        <v>72.370052337646484</v>
      </c>
      <c r="D86" s="4">
        <f>1629129326.42154-1629129326.34846</f>
        <v>7.3080062866210938E-2</v>
      </c>
      <c r="E86" s="3">
        <f t="shared" si="45"/>
        <v>73.080062866210938</v>
      </c>
      <c r="G86" s="4">
        <f>1629129326.42095-1629129326.34846</f>
        <v>7.248997688293457E-2</v>
      </c>
      <c r="H86" s="3">
        <f t="shared" si="46"/>
        <v>72.48997688293457</v>
      </c>
      <c r="J86" s="4">
        <f>1629129326.42146-1629129326.34846</f>
        <v>7.2999954223632813E-2</v>
      </c>
      <c r="K86" s="3">
        <f t="shared" si="47"/>
        <v>72.999954223632813</v>
      </c>
      <c r="M86" s="4">
        <f>1629129326.42196-1629129326.34846</f>
        <v>7.3500156402587891E-2</v>
      </c>
      <c r="N86" s="3">
        <f t="shared" si="48"/>
        <v>73.500156402587891</v>
      </c>
      <c r="S86" s="4">
        <f>1629129654.29058-1629129654.21416</f>
        <v>7.6420068740844727E-2</v>
      </c>
      <c r="T86" s="3">
        <f t="shared" si="49"/>
        <v>76.420068740844727</v>
      </c>
      <c r="V86" s="4">
        <f>1629129654.291-1629129654.21416</f>
        <v>7.6839923858642578E-2</v>
      </c>
      <c r="W86" s="3">
        <f t="shared" si="50"/>
        <v>76.839923858642578</v>
      </c>
      <c r="Y86" s="4">
        <f>1629129654.29134-1629129654.21416</f>
        <v>7.7180147171020508E-2</v>
      </c>
      <c r="Z86" s="3">
        <f t="shared" si="51"/>
        <v>77.180147171020508</v>
      </c>
      <c r="AB86" s="4">
        <f>1629129654.29225-1629129654.21416</f>
        <v>7.808995246887207E-2</v>
      </c>
      <c r="AC86" s="3">
        <f t="shared" si="52"/>
        <v>78.08995246887207</v>
      </c>
      <c r="AE86" s="4">
        <f>1629129654.29176-1629129654.21416</f>
        <v>7.7600002288818359E-2</v>
      </c>
      <c r="AF86" s="3">
        <f t="shared" si="53"/>
        <v>77.600002288818359</v>
      </c>
    </row>
    <row r="87" spans="1:32" x14ac:dyDescent="0.3">
      <c r="A87" s="4">
        <f>1629129327.50524-1629129327.42945</f>
        <v>7.5789928436279297E-2</v>
      </c>
      <c r="B87" s="3">
        <f t="shared" si="44"/>
        <v>75.789928436279297</v>
      </c>
      <c r="D87" s="4">
        <f>1629129327.5065-1629129327.42945</f>
        <v>7.7049970626831055E-2</v>
      </c>
      <c r="E87" s="3">
        <f t="shared" si="45"/>
        <v>77.049970626831055</v>
      </c>
      <c r="G87" s="4">
        <f>1629129327.50562-1629129327.42945</f>
        <v>7.6169967651367188E-2</v>
      </c>
      <c r="H87" s="3">
        <f t="shared" si="46"/>
        <v>76.169967651367188</v>
      </c>
      <c r="J87" s="4">
        <f>1629129327.50611-1629129327.42945</f>
        <v>7.6659917831420898E-2</v>
      </c>
      <c r="K87" s="3">
        <f t="shared" si="47"/>
        <v>76.659917831420898</v>
      </c>
      <c r="M87" s="4">
        <f>1629129327.50706-1629129327.42945</f>
        <v>7.7610015869140625E-2</v>
      </c>
      <c r="N87" s="3">
        <f t="shared" si="48"/>
        <v>77.610015869140625</v>
      </c>
      <c r="S87" s="4">
        <f>1629129655.37872-1629129655.29908</f>
        <v>7.964015007019043E-2</v>
      </c>
      <c r="T87" s="3">
        <f t="shared" si="49"/>
        <v>79.64015007019043</v>
      </c>
      <c r="V87" s="4">
        <f>1629129655.37891-1629129655.29908</f>
        <v>7.9830169677734375E-2</v>
      </c>
      <c r="W87" s="3">
        <f t="shared" si="50"/>
        <v>79.830169677734375</v>
      </c>
      <c r="Y87" s="4">
        <f>1629129655.37938-1629129655.29908</f>
        <v>8.0300092697143555E-2</v>
      </c>
      <c r="Z87" s="3">
        <f t="shared" si="51"/>
        <v>80.300092697143555</v>
      </c>
      <c r="AB87" s="4">
        <f>1629129655.37998-1629129655.29908</f>
        <v>8.0900192260742188E-2</v>
      </c>
      <c r="AC87" s="3">
        <f t="shared" si="52"/>
        <v>80.900192260742188</v>
      </c>
      <c r="AE87" s="4">
        <f>1629129655.37989-1629129655.29908</f>
        <v>8.0810070037841797E-2</v>
      </c>
      <c r="AF87" s="3">
        <f t="shared" si="53"/>
        <v>80.810070037841797</v>
      </c>
    </row>
    <row r="88" spans="1:32" x14ac:dyDescent="0.3">
      <c r="A88" s="4">
        <f>1629129328.59373-1629129328.51356</f>
        <v>8.0169916152954102E-2</v>
      </c>
      <c r="B88" s="3">
        <f t="shared" si="44"/>
        <v>80.169916152954102</v>
      </c>
      <c r="D88" s="4">
        <f>1629129328.59473-1629129328.51356</f>
        <v>8.1169843673706055E-2</v>
      </c>
      <c r="E88" s="3">
        <f t="shared" si="45"/>
        <v>81.169843673706055</v>
      </c>
      <c r="G88" s="4">
        <f>1629129328.59395-1629129328.51356</f>
        <v>8.0389976501464844E-2</v>
      </c>
      <c r="H88" s="3">
        <f t="shared" si="46"/>
        <v>80.389976501464844</v>
      </c>
      <c r="J88" s="4">
        <f>1629129328.59439-1629129328.51356</f>
        <v>8.0829858779907227E-2</v>
      </c>
      <c r="K88" s="3">
        <f t="shared" si="47"/>
        <v>80.829858779907227</v>
      </c>
      <c r="M88" s="4">
        <f>1629129328.59526-1629129328.51356</f>
        <v>8.1699848175048828E-2</v>
      </c>
      <c r="N88" s="3">
        <f t="shared" si="48"/>
        <v>81.699848175048828</v>
      </c>
      <c r="S88" s="4">
        <f>1629129656.46679-1629129656.3877</f>
        <v>7.9089879989624023E-2</v>
      </c>
      <c r="T88" s="3">
        <f t="shared" si="49"/>
        <v>79.089879989624023</v>
      </c>
      <c r="V88" s="4">
        <f>1629129656.46716-1629129656.3877</f>
        <v>7.9459905624389648E-2</v>
      </c>
      <c r="W88" s="3">
        <f t="shared" si="50"/>
        <v>79.459905624389648</v>
      </c>
      <c r="Y88" s="4">
        <f>1629129656.46761-1629129656.3877</f>
        <v>7.9909801483154297E-2</v>
      </c>
      <c r="Z88" s="3">
        <f t="shared" si="51"/>
        <v>79.909801483154297</v>
      </c>
      <c r="AB88" s="4">
        <f>1629129656.46829-1629129656.3877</f>
        <v>8.0590009689331055E-2</v>
      </c>
      <c r="AC88" s="3">
        <f t="shared" si="52"/>
        <v>80.590009689331055</v>
      </c>
      <c r="AE88" s="4">
        <f>1629129656.46817-1629129656.3877</f>
        <v>8.0469846725463867E-2</v>
      </c>
      <c r="AF88" s="3">
        <f t="shared" si="53"/>
        <v>80.469846725463867</v>
      </c>
    </row>
    <row r="89" spans="1:32" x14ac:dyDescent="0.3">
      <c r="A89" s="4">
        <f>1629129329.68375-1629129329.6043</f>
        <v>7.9449892044067383E-2</v>
      </c>
      <c r="B89" s="3">
        <f t="shared" si="44"/>
        <v>79.449892044067383</v>
      </c>
      <c r="D89" s="4">
        <f>1629129329.68492-1629129329.6043</f>
        <v>8.0620050430297852E-2</v>
      </c>
      <c r="E89" s="3">
        <f t="shared" si="45"/>
        <v>80.620050430297852</v>
      </c>
      <c r="G89" s="4">
        <f>1629129329.68412-1629129329.6043</f>
        <v>7.9819917678833008E-2</v>
      </c>
      <c r="H89" s="3">
        <f t="shared" si="46"/>
        <v>79.819917678833008</v>
      </c>
      <c r="J89" s="4">
        <f>1629129329.68455-1629129329.6043</f>
        <v>8.0250024795532227E-2</v>
      </c>
      <c r="K89" s="3">
        <f t="shared" si="47"/>
        <v>80.250024795532227</v>
      </c>
      <c r="M89" s="4">
        <f>1629129329.68544-1629129329.6043</f>
        <v>8.1140041351318359E-2</v>
      </c>
      <c r="N89" s="3">
        <f t="shared" si="48"/>
        <v>81.140041351318359</v>
      </c>
      <c r="S89" s="4">
        <f>1629129657.55397-1629129657.47651</f>
        <v>7.7460050582885742E-2</v>
      </c>
      <c r="T89" s="3">
        <f t="shared" si="49"/>
        <v>77.460050582885742</v>
      </c>
      <c r="V89" s="4">
        <f>1629129657.55416-1629129657.47651</f>
        <v>7.7650070190429688E-2</v>
      </c>
      <c r="W89" s="3">
        <f t="shared" si="50"/>
        <v>77.650070190429688</v>
      </c>
      <c r="Y89" s="4">
        <f>1629129657.55463-1629129657.47651</f>
        <v>7.8119993209838867E-2</v>
      </c>
      <c r="Z89" s="3">
        <f t="shared" si="51"/>
        <v>78.119993209838867</v>
      </c>
      <c r="AB89" s="4">
        <f>1629129657.55517-1629129657.47651</f>
        <v>7.8660011291503906E-2</v>
      </c>
      <c r="AC89" s="3">
        <f t="shared" si="52"/>
        <v>78.660011291503906</v>
      </c>
      <c r="AE89" s="4">
        <f>1629129657.55513-1629129657.47651</f>
        <v>7.8619956970214844E-2</v>
      </c>
      <c r="AF89" s="3">
        <f t="shared" si="53"/>
        <v>78.619956970214844</v>
      </c>
    </row>
    <row r="90" spans="1:32" x14ac:dyDescent="0.3">
      <c r="A90" s="4">
        <f>1629129330.76826-1629129330.69312</f>
        <v>7.5139999389648438E-2</v>
      </c>
      <c r="B90" s="3">
        <f t="shared" si="44"/>
        <v>75.139999389648438</v>
      </c>
      <c r="D90" s="4">
        <f>1629129330.76942-1629129330.69312</f>
        <v>7.6299905776977539E-2</v>
      </c>
      <c r="E90" s="3">
        <f t="shared" si="45"/>
        <v>76.299905776977539</v>
      </c>
      <c r="G90" s="4">
        <f>1629129330.76856-1629129330.69312</f>
        <v>7.5439929962158203E-2</v>
      </c>
      <c r="H90" s="3">
        <f t="shared" si="46"/>
        <v>75.439929962158203</v>
      </c>
      <c r="J90" s="4">
        <f>1629129330.77333-1629129330.69312</f>
        <v>8.0209970474243164E-2</v>
      </c>
      <c r="K90" s="3">
        <f t="shared" si="47"/>
        <v>80.209970474243164</v>
      </c>
      <c r="M90" s="4">
        <f>1629129330.77032-1629129330.69312</f>
        <v>7.7199935913085938E-2</v>
      </c>
      <c r="N90" s="3">
        <f t="shared" si="48"/>
        <v>77.199935913085938</v>
      </c>
      <c r="S90" s="4">
        <f>1629129658.63971-1629129658.5623</f>
        <v>7.7409982681274414E-2</v>
      </c>
      <c r="T90" s="3">
        <f t="shared" si="49"/>
        <v>77.409982681274414</v>
      </c>
      <c r="V90" s="4">
        <f>1629129658.63994-1629129658.5623</f>
        <v>7.7640056610107422E-2</v>
      </c>
      <c r="W90" s="3">
        <f t="shared" si="50"/>
        <v>77.640056610107422</v>
      </c>
      <c r="Y90" s="4">
        <f>1629129658.64024-1629129658.5623</f>
        <v>7.7939987182617188E-2</v>
      </c>
      <c r="Z90" s="3">
        <f t="shared" si="51"/>
        <v>77.939987182617188</v>
      </c>
      <c r="AB90" s="4">
        <f>1629129658.64156-1629129658.5623</f>
        <v>7.9260110855102539E-2</v>
      </c>
      <c r="AC90" s="3">
        <f t="shared" si="52"/>
        <v>79.260110855102539</v>
      </c>
      <c r="AE90" s="4">
        <f>1629129658.64541-1629129658.5623</f>
        <v>8.311009407043457E-2</v>
      </c>
      <c r="AF90" s="3">
        <f t="shared" si="53"/>
        <v>83.11009407043457</v>
      </c>
    </row>
    <row r="91" spans="1:32" x14ac:dyDescent="0.3">
      <c r="B91" s="2">
        <f>AVERAGE(B81:B90)</f>
        <v>76.88298225402832</v>
      </c>
      <c r="E91" s="2">
        <f>AVERAGE(E81:E90)</f>
        <v>77.82599925994873</v>
      </c>
      <c r="H91" s="2">
        <f>AVERAGE(H81:H90)</f>
        <v>77.125978469848633</v>
      </c>
      <c r="K91" s="2">
        <f>AVERAGE(K81:K90)</f>
        <v>78.000998497009277</v>
      </c>
      <c r="N91" s="2">
        <f>AVERAGE(N81:N90)</f>
        <v>78.367996215820313</v>
      </c>
      <c r="T91" s="2">
        <f>AVERAGE(T81:T90)</f>
        <v>77.706027030944824</v>
      </c>
      <c r="W91" s="2">
        <f>AVERAGE(W81:W90)</f>
        <v>77.992033958435059</v>
      </c>
      <c r="Z91" s="2">
        <f>AVERAGE(Z81:Z90)</f>
        <v>78.36003303527832</v>
      </c>
      <c r="AC91" s="2">
        <f>AVERAGE(AC81:AC90)</f>
        <v>79.096031188964844</v>
      </c>
      <c r="AF91" s="2">
        <f>AVERAGE(AF81:AF90)</f>
        <v>79.419994354248047</v>
      </c>
    </row>
    <row r="93" spans="1:32" x14ac:dyDescent="0.3">
      <c r="A93" s="6" t="s">
        <v>52</v>
      </c>
      <c r="B93" s="6"/>
      <c r="D93" s="6" t="s">
        <v>53</v>
      </c>
      <c r="E93" s="6"/>
      <c r="G93" s="6" t="s">
        <v>54</v>
      </c>
      <c r="H93" s="6"/>
      <c r="J93" s="6" t="s">
        <v>55</v>
      </c>
      <c r="K93" s="6"/>
      <c r="M93" s="6" t="s">
        <v>56</v>
      </c>
      <c r="N93" s="6"/>
      <c r="S93" s="6" t="s">
        <v>52</v>
      </c>
      <c r="T93" s="6"/>
      <c r="V93" s="6" t="s">
        <v>53</v>
      </c>
      <c r="W93" s="6"/>
      <c r="Y93" s="6" t="s">
        <v>54</v>
      </c>
      <c r="Z93" s="6"/>
      <c r="AB93" s="6" t="s">
        <v>55</v>
      </c>
      <c r="AC93" s="6"/>
      <c r="AE93" s="6" t="s">
        <v>56</v>
      </c>
      <c r="AF93" s="6"/>
    </row>
    <row r="94" spans="1:32" ht="45" customHeight="1" x14ac:dyDescent="0.3">
      <c r="A94" s="8" t="s">
        <v>62</v>
      </c>
      <c r="B94" s="8"/>
      <c r="D94" s="8" t="s">
        <v>62</v>
      </c>
      <c r="E94" s="8"/>
      <c r="G94" s="8" t="s">
        <v>62</v>
      </c>
      <c r="H94" s="8"/>
      <c r="J94" s="8" t="s">
        <v>62</v>
      </c>
      <c r="K94" s="8"/>
      <c r="M94" s="8" t="s">
        <v>62</v>
      </c>
      <c r="N94" s="8"/>
      <c r="S94" s="8" t="s">
        <v>63</v>
      </c>
      <c r="T94" s="8"/>
      <c r="V94" s="8" t="s">
        <v>63</v>
      </c>
      <c r="W94" s="8"/>
      <c r="Y94" s="8" t="s">
        <v>63</v>
      </c>
      <c r="Z94" s="8"/>
      <c r="AB94" s="8" t="s">
        <v>63</v>
      </c>
      <c r="AC94" s="8"/>
      <c r="AE94" s="8" t="s">
        <v>63</v>
      </c>
      <c r="AF94" s="8"/>
    </row>
    <row r="95" spans="1:32" x14ac:dyDescent="0.3">
      <c r="A95" s="1" t="s">
        <v>1</v>
      </c>
      <c r="B95" s="1" t="s">
        <v>0</v>
      </c>
      <c r="D95" s="1" t="s">
        <v>1</v>
      </c>
      <c r="E95" s="1" t="s">
        <v>0</v>
      </c>
      <c r="G95" s="1" t="s">
        <v>1</v>
      </c>
      <c r="H95" s="1" t="s">
        <v>0</v>
      </c>
      <c r="J95" s="1" t="s">
        <v>1</v>
      </c>
      <c r="K95" s="1" t="s">
        <v>0</v>
      </c>
      <c r="M95" s="1" t="s">
        <v>1</v>
      </c>
      <c r="N95" s="1" t="s">
        <v>0</v>
      </c>
      <c r="S95" s="1" t="s">
        <v>1</v>
      </c>
      <c r="T95" s="1" t="s">
        <v>0</v>
      </c>
      <c r="V95" s="1" t="s">
        <v>1</v>
      </c>
      <c r="W95" s="1" t="s">
        <v>0</v>
      </c>
      <c r="Y95" s="1" t="s">
        <v>1</v>
      </c>
      <c r="Z95" s="1" t="s">
        <v>0</v>
      </c>
      <c r="AB95" s="1" t="s">
        <v>1</v>
      </c>
      <c r="AC95" s="1" t="s">
        <v>0</v>
      </c>
      <c r="AE95" s="1" t="s">
        <v>1</v>
      </c>
      <c r="AF95" s="1" t="s">
        <v>0</v>
      </c>
    </row>
    <row r="96" spans="1:32" x14ac:dyDescent="0.3">
      <c r="A96" s="4">
        <f>1629129321.00557-1629129320.92265</f>
        <v>8.2919836044311523E-2</v>
      </c>
      <c r="B96" s="3">
        <f>A96*1000</f>
        <v>82.919836044311523</v>
      </c>
      <c r="D96" s="4">
        <f>1629129321.00511-1629129320.92265</f>
        <v>8.2459926605224609E-2</v>
      </c>
      <c r="E96" s="3">
        <f>D96*1000</f>
        <v>82.459926605224609</v>
      </c>
      <c r="G96" s="4">
        <f>1629129321.00495-1629129320.92265</f>
        <v>8.2299947738647461E-2</v>
      </c>
      <c r="H96" s="3">
        <f>G96*1000</f>
        <v>82.299947738647461</v>
      </c>
      <c r="J96" s="4">
        <f>1629129321.00564-1629129320.92265</f>
        <v>8.2989931106567383E-2</v>
      </c>
      <c r="K96" s="3">
        <f>J96*1000</f>
        <v>82.989931106567383</v>
      </c>
      <c r="M96" s="4">
        <f>1629129321.006-1629129320.92265</f>
        <v>8.3349943161010742E-2</v>
      </c>
      <c r="N96" s="3">
        <f>M96*1000</f>
        <v>83.349943161010742</v>
      </c>
      <c r="S96" s="4">
        <f>1629129648.86484-1629129648.78612</f>
        <v>7.87200927734375E-2</v>
      </c>
      <c r="T96" s="3">
        <f>S96*1000</f>
        <v>78.7200927734375</v>
      </c>
      <c r="V96" s="4">
        <f>1629129648.865-1629129648.78612</f>
        <v>7.8880071640014648E-2</v>
      </c>
      <c r="W96" s="3">
        <f>V96*1000</f>
        <v>78.880071640014648</v>
      </c>
      <c r="Y96" s="4">
        <f>1629129648.8657-1629129648.78612</f>
        <v>7.9580068588256836E-2</v>
      </c>
      <c r="Z96" s="3">
        <f>Y96*1000</f>
        <v>79.580068588256836</v>
      </c>
      <c r="AB96" s="4">
        <f>1629129648.86512-1629129648.78612</f>
        <v>7.8999996185302734E-2</v>
      </c>
      <c r="AC96" s="3">
        <f>AB96*1000</f>
        <v>78.999996185302734</v>
      </c>
      <c r="AE96" s="4">
        <f>1629129648.86582-1629129648.78612</f>
        <v>7.9699993133544922E-2</v>
      </c>
      <c r="AF96" s="3">
        <f>AE96*1000</f>
        <v>79.699993133544922</v>
      </c>
    </row>
    <row r="97" spans="1:32" x14ac:dyDescent="0.3">
      <c r="A97" s="4">
        <f>1629129322.09265-1629129322.00981</f>
        <v>8.28399658203125E-2</v>
      </c>
      <c r="B97" s="3">
        <f t="shared" ref="B97:B105" si="54">A97*1000</f>
        <v>82.8399658203125</v>
      </c>
      <c r="D97" s="4">
        <f>1629129322.09221-1629129322.00981</f>
        <v>8.2400083541870117E-2</v>
      </c>
      <c r="E97" s="3">
        <f t="shared" ref="E97:E105" si="55">D97*1000</f>
        <v>82.400083541870117</v>
      </c>
      <c r="G97" s="4">
        <f>1629129322.0921-1629129322.00981</f>
        <v>8.2289934158325195E-2</v>
      </c>
      <c r="H97" s="3">
        <f t="shared" ref="H97:H105" si="56">G97*1000</f>
        <v>82.289934158325195</v>
      </c>
      <c r="J97" s="4">
        <f>1629129322.09266-1629129322.00981</f>
        <v>8.2849979400634766E-2</v>
      </c>
      <c r="K97" s="3">
        <f t="shared" ref="K97:K105" si="57">J97*1000</f>
        <v>82.849979400634766</v>
      </c>
      <c r="M97" s="4">
        <f>1629129322.09329-1629129322.00981</f>
        <v>8.3480119705200195E-2</v>
      </c>
      <c r="N97" s="3">
        <f t="shared" ref="N97:N105" si="58">M97*1000</f>
        <v>83.480119705200195</v>
      </c>
      <c r="S97" s="4">
        <f>1629129649.94973-1629129649.87083</f>
        <v>7.8899860382080078E-2</v>
      </c>
      <c r="T97" s="3">
        <f t="shared" ref="T97:T105" si="59">S97*1000</f>
        <v>78.899860382080078</v>
      </c>
      <c r="V97" s="4">
        <f>1629129649.94989-1629129649.87083</f>
        <v>7.9059839248657227E-2</v>
      </c>
      <c r="W97" s="3">
        <f t="shared" ref="W97:W105" si="60">V97*1000</f>
        <v>79.059839248657227</v>
      </c>
      <c r="Y97" s="4">
        <f>1629129649.95075-1629129649.87083</f>
        <v>7.9920053482055664E-2</v>
      </c>
      <c r="Z97" s="3">
        <f t="shared" ref="Z97:Z105" si="61">Y97*1000</f>
        <v>79.920053482055664</v>
      </c>
      <c r="AB97" s="4">
        <f>1629129649.95022-1629129649.87083</f>
        <v>7.9390048980712891E-2</v>
      </c>
      <c r="AC97" s="3">
        <f t="shared" ref="AC97:AC105" si="62">AB97*1000</f>
        <v>79.390048980712891</v>
      </c>
      <c r="AE97" s="4">
        <f>1629129649.9511-1629129649.87083</f>
        <v>8.0270051956176758E-2</v>
      </c>
      <c r="AF97" s="3">
        <f t="shared" ref="AF97:AF105" si="63">AE97*1000</f>
        <v>80.270051956176758</v>
      </c>
    </row>
    <row r="98" spans="1:32" x14ac:dyDescent="0.3">
      <c r="A98" s="4">
        <f>1629129323.17156-1629129323.09614</f>
        <v>7.5420141220092773E-2</v>
      </c>
      <c r="B98" s="3">
        <f t="shared" si="54"/>
        <v>75.420141220092773</v>
      </c>
      <c r="D98" s="4">
        <f>1629129323.17108-1629129323.09614</f>
        <v>7.4940204620361328E-2</v>
      </c>
      <c r="E98" s="3">
        <f t="shared" si="55"/>
        <v>74.940204620361328</v>
      </c>
      <c r="G98" s="4">
        <f>1629129323.17097-1629129323.09614</f>
        <v>7.4830055236816406E-2</v>
      </c>
      <c r="H98" s="3">
        <f t="shared" si="56"/>
        <v>74.830055236816406</v>
      </c>
      <c r="J98" s="4">
        <f>1629129323.17152-1629129323.09614</f>
        <v>7.5380086898803711E-2</v>
      </c>
      <c r="K98" s="3">
        <f t="shared" si="57"/>
        <v>75.380086898803711</v>
      </c>
      <c r="M98" s="4">
        <f>1629129323.1721-1629129323.09614</f>
        <v>7.5960159301757813E-2</v>
      </c>
      <c r="N98" s="3">
        <f t="shared" si="58"/>
        <v>75.960159301757813</v>
      </c>
      <c r="S98" s="4">
        <f>1629129651.03583-1629129650.95537</f>
        <v>8.0460071563720703E-2</v>
      </c>
      <c r="T98" s="3">
        <f t="shared" si="59"/>
        <v>80.460071563720703</v>
      </c>
      <c r="V98" s="4">
        <f>1629129651.03606-1629129650.95537</f>
        <v>8.0690145492553711E-2</v>
      </c>
      <c r="W98" s="3">
        <f t="shared" si="60"/>
        <v>80.690145492553711</v>
      </c>
      <c r="Y98" s="4">
        <f>1629129651.03704-1629129650.95537</f>
        <v>8.1670045852661133E-2</v>
      </c>
      <c r="Z98" s="3">
        <f t="shared" si="61"/>
        <v>81.670045852661133</v>
      </c>
      <c r="AB98" s="4">
        <f>1629129651.03646-1629129650.95537</f>
        <v>8.1089973449707031E-2</v>
      </c>
      <c r="AC98" s="3">
        <f t="shared" si="62"/>
        <v>81.089973449707031</v>
      </c>
      <c r="AE98" s="4">
        <f>1629129651.0373-1629129650.95537</f>
        <v>8.1930160522460938E-2</v>
      </c>
      <c r="AF98" s="3">
        <f t="shared" si="63"/>
        <v>81.930160522460938</v>
      </c>
    </row>
    <row r="99" spans="1:32" x14ac:dyDescent="0.3">
      <c r="A99" s="4">
        <f>1629129324.25824-1629129324.17571</f>
        <v>8.2530021667480469E-2</v>
      </c>
      <c r="B99" s="3">
        <f t="shared" si="54"/>
        <v>82.530021667480469</v>
      </c>
      <c r="D99" s="4">
        <f>1629129324.25734-1629129324.17571</f>
        <v>8.162999153137207E-2</v>
      </c>
      <c r="E99" s="3">
        <f t="shared" si="55"/>
        <v>81.62999153137207</v>
      </c>
      <c r="G99" s="4">
        <f>1629129324.25694-1629129324.17571</f>
        <v>8.1229925155639648E-2</v>
      </c>
      <c r="H99" s="3">
        <f t="shared" si="56"/>
        <v>81.229925155639648</v>
      </c>
      <c r="J99" s="4">
        <f>1629129324.25775-1629129324.17571</f>
        <v>8.2040071487426758E-2</v>
      </c>
      <c r="K99" s="3">
        <f t="shared" si="57"/>
        <v>82.040071487426758</v>
      </c>
      <c r="M99" s="4">
        <f>1629129324.25876-1629129324.17571</f>
        <v>8.3050012588500977E-2</v>
      </c>
      <c r="N99" s="3">
        <f t="shared" si="58"/>
        <v>83.050012588500977</v>
      </c>
      <c r="S99" s="4">
        <f>1629129652.12247-1629129652.04216</f>
        <v>8.0309867858886719E-2</v>
      </c>
      <c r="T99" s="3">
        <f t="shared" si="59"/>
        <v>80.309867858886719</v>
      </c>
      <c r="V99" s="4">
        <f>1629129652.12257-1629129652.04216</f>
        <v>8.0410003662109375E-2</v>
      </c>
      <c r="W99" s="3">
        <f t="shared" si="60"/>
        <v>80.410003662109375</v>
      </c>
      <c r="Y99" s="4">
        <f>1629129652.12422-1629129652.04216</f>
        <v>8.2059860229492188E-2</v>
      </c>
      <c r="Z99" s="3">
        <f t="shared" si="61"/>
        <v>82.059860229492188</v>
      </c>
      <c r="AB99" s="4">
        <f>1629129652.12279-1629129652.04216</f>
        <v>8.0630064010620117E-2</v>
      </c>
      <c r="AC99" s="3">
        <f t="shared" si="62"/>
        <v>80.630064010620117</v>
      </c>
      <c r="AE99" s="4">
        <f>1629129652.1236-1629129652.04216</f>
        <v>8.1439971923828125E-2</v>
      </c>
      <c r="AF99" s="3">
        <f t="shared" si="63"/>
        <v>81.439971923828125</v>
      </c>
    </row>
    <row r="100" spans="1:32" x14ac:dyDescent="0.3">
      <c r="A100" s="4">
        <f>1629129325.34535-1629129325.26184</f>
        <v>8.3509922027587891E-2</v>
      </c>
      <c r="B100" s="3">
        <f t="shared" si="54"/>
        <v>83.509922027587891</v>
      </c>
      <c r="D100" s="4">
        <f>1629129325.34486-1629129325.26184</f>
        <v>8.301997184753418E-2</v>
      </c>
      <c r="E100" s="3">
        <f t="shared" si="55"/>
        <v>83.01997184753418</v>
      </c>
      <c r="G100" s="4">
        <f>1629129325.34479-1629129325.26184</f>
        <v>8.294987678527832E-2</v>
      </c>
      <c r="H100" s="3">
        <f t="shared" si="56"/>
        <v>82.94987678527832</v>
      </c>
      <c r="J100" s="4">
        <f>1629129325.34532-1629129325.26184</f>
        <v>8.3479881286621094E-2</v>
      </c>
      <c r="K100" s="3">
        <f t="shared" si="57"/>
        <v>83.479881286621094</v>
      </c>
      <c r="M100" s="4">
        <f>1629129325.34584-1629129325.26184</f>
        <v>8.3999872207641602E-2</v>
      </c>
      <c r="N100" s="3">
        <f t="shared" si="58"/>
        <v>83.999872207641602</v>
      </c>
      <c r="S100" s="4">
        <f>1629129653.20808-1629129653.12829</f>
        <v>7.9790115356445313E-2</v>
      </c>
      <c r="T100" s="3">
        <f t="shared" si="59"/>
        <v>79.790115356445313</v>
      </c>
      <c r="V100" s="4">
        <f>1629129653.20828-1629129653.12829</f>
        <v>7.9990148544311523E-2</v>
      </c>
      <c r="W100" s="3">
        <f t="shared" si="60"/>
        <v>79.990148544311523</v>
      </c>
      <c r="Y100" s="4">
        <f>1629129653.20893-1629129653.12829</f>
        <v>8.0640077590942383E-2</v>
      </c>
      <c r="Z100" s="3">
        <f t="shared" si="61"/>
        <v>80.640077590942383</v>
      </c>
      <c r="AB100" s="4">
        <f>1629129653.20834-1629129653.12829</f>
        <v>8.0049991607666016E-2</v>
      </c>
      <c r="AC100" s="3">
        <f t="shared" si="62"/>
        <v>80.049991607666016</v>
      </c>
      <c r="AE100" s="4">
        <f>1629129653.20931-1629129653.12829</f>
        <v>8.1020116806030273E-2</v>
      </c>
      <c r="AF100" s="3">
        <f t="shared" si="63"/>
        <v>81.020116806030273</v>
      </c>
    </row>
    <row r="101" spans="1:32" x14ac:dyDescent="0.3">
      <c r="A101" s="4">
        <f>1629129326.42484-1629129326.34846</f>
        <v>7.6380014419555664E-2</v>
      </c>
      <c r="B101" s="3">
        <f t="shared" si="54"/>
        <v>76.380014419555664</v>
      </c>
      <c r="D101" s="4">
        <f>1629129326.42422-1629129326.34846</f>
        <v>7.5760126113891602E-2</v>
      </c>
      <c r="E101" s="3">
        <f t="shared" si="55"/>
        <v>75.760126113891602</v>
      </c>
      <c r="G101" s="4">
        <f>1629129326.42414-1629129326.34846</f>
        <v>7.5680017471313477E-2</v>
      </c>
      <c r="H101" s="3">
        <f t="shared" si="56"/>
        <v>75.680017471313477</v>
      </c>
      <c r="J101" s="4">
        <f>1629129326.4247-1629129326.34846</f>
        <v>7.6240062713623047E-2</v>
      </c>
      <c r="K101" s="3">
        <f t="shared" si="57"/>
        <v>76.240062713623047</v>
      </c>
      <c r="M101" s="4">
        <f>1629129326.42539-1629129326.34846</f>
        <v>7.6930046081542969E-2</v>
      </c>
      <c r="N101" s="3">
        <f t="shared" si="58"/>
        <v>76.930046081542969</v>
      </c>
      <c r="S101" s="4">
        <f>1629129654.29308-1629129654.21416</f>
        <v>7.8920125961303711E-2</v>
      </c>
      <c r="T101" s="3">
        <f t="shared" si="59"/>
        <v>78.920125961303711</v>
      </c>
      <c r="V101" s="4">
        <f>1629129654.29331-1629129654.21416</f>
        <v>7.9149961471557617E-2</v>
      </c>
      <c r="W101" s="3">
        <f t="shared" si="60"/>
        <v>79.149961471557617</v>
      </c>
      <c r="Y101" s="4">
        <f>1629129654.29421-1629129654.21416</f>
        <v>8.0049991607666016E-2</v>
      </c>
      <c r="Z101" s="3">
        <f t="shared" si="61"/>
        <v>80.049991607666016</v>
      </c>
      <c r="AB101" s="4">
        <f>1629129654.29376-1629129654.21416</f>
        <v>7.9600095748901367E-2</v>
      </c>
      <c r="AC101" s="3">
        <f t="shared" si="62"/>
        <v>79.600095748901367</v>
      </c>
      <c r="AE101" s="4">
        <f>1629129654.29382-1629129654.21416</f>
        <v>7.9659938812255859E-2</v>
      </c>
      <c r="AF101" s="3">
        <f t="shared" si="63"/>
        <v>79.659938812255859</v>
      </c>
    </row>
    <row r="102" spans="1:32" x14ac:dyDescent="0.3">
      <c r="A102" s="4">
        <f>1629129327.50988-1629129327.42945</f>
        <v>8.0430030822753906E-2</v>
      </c>
      <c r="B102" s="3">
        <f t="shared" si="54"/>
        <v>80.430030822753906</v>
      </c>
      <c r="D102" s="4">
        <f>1629129327.51031-1629129327.42945</f>
        <v>8.0859899520874023E-2</v>
      </c>
      <c r="E102" s="3">
        <f t="shared" si="55"/>
        <v>80.859899520874023</v>
      </c>
      <c r="G102" s="4">
        <f>1629129327.50944-1629129327.42945</f>
        <v>7.9989910125732422E-2</v>
      </c>
      <c r="H102" s="3">
        <f t="shared" si="56"/>
        <v>79.989910125732422</v>
      </c>
      <c r="J102" s="4">
        <f>1629129327.51008-1629129327.42945</f>
        <v>8.0630064010620117E-2</v>
      </c>
      <c r="K102" s="3">
        <f t="shared" si="57"/>
        <v>80.630064010620117</v>
      </c>
      <c r="M102" s="4">
        <f>1629129327.51061-1629129327.42945</f>
        <v>8.1160068511962891E-2</v>
      </c>
      <c r="N102" s="3">
        <f t="shared" si="58"/>
        <v>81.160068511962891</v>
      </c>
      <c r="S102" s="4">
        <f>1629129655.38107-1629129655.29908</f>
        <v>8.199000358581543E-2</v>
      </c>
      <c r="T102" s="3">
        <f t="shared" si="59"/>
        <v>81.99000358581543</v>
      </c>
      <c r="V102" s="4">
        <f>1629129655.38236-1629129655.29908</f>
        <v>8.3280086517333984E-2</v>
      </c>
      <c r="W102" s="3">
        <f t="shared" si="60"/>
        <v>83.280086517333984</v>
      </c>
      <c r="Y102" s="4">
        <f>1629129655.38251-1629129655.29908</f>
        <v>8.3430051803588867E-2</v>
      </c>
      <c r="Z102" s="3">
        <f t="shared" si="61"/>
        <v>83.430051803588867</v>
      </c>
      <c r="AB102" s="4">
        <f>1629129655.38161-1629129655.29908</f>
        <v>8.2530021667480469E-2</v>
      </c>
      <c r="AC102" s="3">
        <f t="shared" si="62"/>
        <v>82.530021667480469</v>
      </c>
      <c r="AE102" s="4">
        <f>1629129655.382-1629129655.29908</f>
        <v>8.2920074462890625E-2</v>
      </c>
      <c r="AF102" s="3">
        <f t="shared" si="63"/>
        <v>82.920074462890625</v>
      </c>
    </row>
    <row r="103" spans="1:32" x14ac:dyDescent="0.3">
      <c r="A103" s="4">
        <f>1629129328.59855-1629129328.51356</f>
        <v>8.4990024566650391E-2</v>
      </c>
      <c r="B103" s="3">
        <f t="shared" si="54"/>
        <v>84.990024566650391</v>
      </c>
      <c r="D103" s="4">
        <f>1629129328.59799-1629129328.51356</f>
        <v>8.442997932434082E-2</v>
      </c>
      <c r="E103" s="3">
        <f t="shared" si="55"/>
        <v>84.42997932434082</v>
      </c>
      <c r="G103" s="4">
        <f>1629129328.59762-1629129328.51356</f>
        <v>8.4059953689575195E-2</v>
      </c>
      <c r="H103" s="3">
        <f t="shared" si="56"/>
        <v>84.059953689575195</v>
      </c>
      <c r="J103" s="4">
        <f>1629129328.59816-1629129328.51356</f>
        <v>8.4599971771240234E-2</v>
      </c>
      <c r="K103" s="3">
        <f t="shared" si="57"/>
        <v>84.599971771240234</v>
      </c>
      <c r="M103" s="4">
        <f>1629129328.59881-1629129328.51356</f>
        <v>8.5249900817871094E-2</v>
      </c>
      <c r="N103" s="3">
        <f t="shared" si="58"/>
        <v>85.249900817871094</v>
      </c>
      <c r="S103" s="4">
        <f>1629129656.46923-1629129656.3877</f>
        <v>8.1529855728149414E-2</v>
      </c>
      <c r="T103" s="3">
        <f t="shared" si="59"/>
        <v>81.529855728149414</v>
      </c>
      <c r="V103" s="4">
        <f>1629129656.47084-1629129656.3877</f>
        <v>8.3139896392822266E-2</v>
      </c>
      <c r="W103" s="3">
        <f t="shared" si="60"/>
        <v>83.139896392822266</v>
      </c>
      <c r="Y103" s="4">
        <f>1629129656.47105-1629129656.3877</f>
        <v>8.3349943161010742E-2</v>
      </c>
      <c r="Z103" s="3">
        <f t="shared" si="61"/>
        <v>83.349943161010742</v>
      </c>
      <c r="AB103" s="4">
        <f>1629129656.47008-1629129656.3877</f>
        <v>8.2379817962646484E-2</v>
      </c>
      <c r="AC103" s="3">
        <f t="shared" si="62"/>
        <v>82.379817962646484</v>
      </c>
      <c r="AE103" s="4">
        <f>1629129656.47051-1629129656.3877</f>
        <v>8.2809925079345703E-2</v>
      </c>
      <c r="AF103" s="3">
        <f t="shared" si="63"/>
        <v>82.809925079345703</v>
      </c>
    </row>
    <row r="104" spans="1:32" x14ac:dyDescent="0.3">
      <c r="A104" s="4">
        <f>1629129329.68916-1629129329.6043</f>
        <v>8.4860086441040039E-2</v>
      </c>
      <c r="B104" s="3">
        <f t="shared" si="54"/>
        <v>84.860086441040039</v>
      </c>
      <c r="D104" s="4">
        <f>1629129329.6885-1629129329.6043</f>
        <v>8.4199905395507813E-2</v>
      </c>
      <c r="E104" s="3">
        <f t="shared" si="55"/>
        <v>84.199905395507813</v>
      </c>
      <c r="G104" s="4">
        <f>1629129329.68789-1629129329.6043</f>
        <v>8.3590030670166016E-2</v>
      </c>
      <c r="H104" s="3">
        <f t="shared" si="56"/>
        <v>83.590030670166016</v>
      </c>
      <c r="J104" s="4">
        <f>1629129329.68862-1629129329.6043</f>
        <v>8.4320068359375E-2</v>
      </c>
      <c r="K104" s="3">
        <f t="shared" si="57"/>
        <v>84.320068359375</v>
      </c>
      <c r="M104" s="4">
        <f>1629129329.68956-1629129329.6043</f>
        <v>8.5259914398193359E-2</v>
      </c>
      <c r="N104" s="3">
        <f t="shared" si="58"/>
        <v>85.259914398193359</v>
      </c>
      <c r="S104" s="4">
        <f>1629129657.55612-1629129657.47651</f>
        <v>7.9609870910644531E-2</v>
      </c>
      <c r="T104" s="3">
        <f t="shared" si="59"/>
        <v>79.609870910644531</v>
      </c>
      <c r="V104" s="4">
        <f>1629129657.55751-1629129657.47651</f>
        <v>8.0999851226806641E-2</v>
      </c>
      <c r="W104" s="3">
        <f t="shared" si="60"/>
        <v>80.999851226806641</v>
      </c>
      <c r="Y104" s="4">
        <f>1629129657.55722-1629129657.47651</f>
        <v>8.0709934234619141E-2</v>
      </c>
      <c r="Z104" s="3">
        <f t="shared" si="61"/>
        <v>80.709934234619141</v>
      </c>
      <c r="AB104" s="4">
        <f>1629129657.55658-1629129657.47651</f>
        <v>8.0070018768310547E-2</v>
      </c>
      <c r="AC104" s="3">
        <f t="shared" si="62"/>
        <v>80.070018768310547</v>
      </c>
      <c r="AE104" s="4">
        <f>1629129657.55672-1629129657.47651</f>
        <v>8.0209970474243164E-2</v>
      </c>
      <c r="AF104" s="3">
        <f t="shared" si="63"/>
        <v>80.209970474243164</v>
      </c>
    </row>
    <row r="105" spans="1:32" x14ac:dyDescent="0.3">
      <c r="A105" s="4">
        <f>1629129330.77276-1629129330.69312</f>
        <v>7.9639911651611328E-2</v>
      </c>
      <c r="B105" s="3">
        <f t="shared" si="54"/>
        <v>79.639911651611328</v>
      </c>
      <c r="D105" s="4">
        <f>1629129330.7725-1629129330.69312</f>
        <v>7.9380035400390625E-2</v>
      </c>
      <c r="E105" s="3">
        <f t="shared" si="55"/>
        <v>79.380035400390625</v>
      </c>
      <c r="G105" s="4">
        <f>1629129330.77224-1629129330.69312</f>
        <v>7.911992073059082E-2</v>
      </c>
      <c r="H105" s="3">
        <f t="shared" si="56"/>
        <v>79.11992073059082</v>
      </c>
      <c r="J105" s="4">
        <f>1629129330.77708-1629129330.69312</f>
        <v>8.3960056304931641E-2</v>
      </c>
      <c r="K105" s="3">
        <f t="shared" si="57"/>
        <v>83.960056304931641</v>
      </c>
      <c r="M105" s="4">
        <f>1629129330.77718-1629129330.69312</f>
        <v>8.4059953689575195E-2</v>
      </c>
      <c r="N105" s="3">
        <f t="shared" si="58"/>
        <v>84.059953689575195</v>
      </c>
      <c r="S105" s="4">
        <f>1629129658.64133-1629129658.5623</f>
        <v>7.9030036926269531E-2</v>
      </c>
      <c r="T105" s="3">
        <f t="shared" si="59"/>
        <v>79.030036926269531</v>
      </c>
      <c r="V105" s="4">
        <f>1629129658.64317-1629129658.5623</f>
        <v>8.0870151519775391E-2</v>
      </c>
      <c r="W105" s="3">
        <f t="shared" si="60"/>
        <v>80.870151519775391</v>
      </c>
      <c r="Y105" s="4">
        <f>1629129658.64641-1629129658.5623</f>
        <v>8.4110021591186523E-2</v>
      </c>
      <c r="Z105" s="3">
        <f t="shared" si="61"/>
        <v>84.110021591186523</v>
      </c>
      <c r="AB105" s="4">
        <f>1629129658.64176-1629129658.5623</f>
        <v>7.946014404296875E-2</v>
      </c>
      <c r="AC105" s="3">
        <f t="shared" si="62"/>
        <v>79.46014404296875</v>
      </c>
      <c r="AE105" s="4">
        <f>1629129658.64197-1629129658.5623</f>
        <v>7.9669952392578125E-2</v>
      </c>
      <c r="AF105" s="3">
        <f t="shared" si="63"/>
        <v>79.669952392578125</v>
      </c>
    </row>
    <row r="106" spans="1:32" x14ac:dyDescent="0.3">
      <c r="B106" s="2">
        <f>AVERAGE(B96:B105)</f>
        <v>81.351995468139648</v>
      </c>
      <c r="E106" s="2">
        <f>AVERAGE(E96:E105)</f>
        <v>80.908012390136719</v>
      </c>
      <c r="H106" s="2">
        <f>AVERAGE(H96:H105)</f>
        <v>80.603957176208496</v>
      </c>
      <c r="K106" s="2">
        <f>AVERAGE(K96:K105)</f>
        <v>81.649017333984375</v>
      </c>
      <c r="N106" s="2">
        <f>AVERAGE(N96:N105)</f>
        <v>82.249999046325684</v>
      </c>
      <c r="T106" s="2">
        <f>AVERAGE(T96:T105)</f>
        <v>79.925990104675293</v>
      </c>
      <c r="W106" s="2">
        <f>AVERAGE(W96:W105)</f>
        <v>80.647015571594238</v>
      </c>
      <c r="Z106" s="2">
        <f>AVERAGE(Z96:Z105)</f>
        <v>81.552004814147949</v>
      </c>
      <c r="AC106" s="2">
        <f>AVERAGE(AC96:AC105)</f>
        <v>80.420017242431641</v>
      </c>
      <c r="AF106" s="2">
        <f>AVERAGE(AF96:AF105)</f>
        <v>80.963015556335449</v>
      </c>
    </row>
    <row r="108" spans="1:32" x14ac:dyDescent="0.3">
      <c r="A108" s="6" t="s">
        <v>47</v>
      </c>
      <c r="B108" s="6"/>
      <c r="D108" s="6" t="s">
        <v>48</v>
      </c>
      <c r="E108" s="6"/>
      <c r="G108" s="6" t="s">
        <v>49</v>
      </c>
      <c r="H108" s="6"/>
      <c r="J108" s="6" t="s">
        <v>50</v>
      </c>
      <c r="K108" s="6"/>
      <c r="M108" s="6" t="s">
        <v>51</v>
      </c>
      <c r="N108" s="6"/>
      <c r="S108" s="6" t="s">
        <v>47</v>
      </c>
      <c r="T108" s="6"/>
      <c r="V108" s="6" t="s">
        <v>48</v>
      </c>
      <c r="W108" s="6"/>
      <c r="Y108" s="6" t="s">
        <v>49</v>
      </c>
      <c r="Z108" s="6"/>
      <c r="AB108" s="6" t="s">
        <v>50</v>
      </c>
      <c r="AC108" s="6"/>
      <c r="AE108" s="6" t="s">
        <v>51</v>
      </c>
      <c r="AF108" s="6"/>
    </row>
    <row r="109" spans="1:32" ht="45" customHeight="1" x14ac:dyDescent="0.3">
      <c r="A109" s="8" t="s">
        <v>62</v>
      </c>
      <c r="B109" s="8"/>
      <c r="D109" s="8" t="s">
        <v>62</v>
      </c>
      <c r="E109" s="8"/>
      <c r="G109" s="8" t="s">
        <v>62</v>
      </c>
      <c r="H109" s="8"/>
      <c r="J109" s="8" t="s">
        <v>62</v>
      </c>
      <c r="K109" s="8"/>
      <c r="M109" s="8" t="s">
        <v>62</v>
      </c>
      <c r="N109" s="8"/>
      <c r="S109" s="8" t="s">
        <v>63</v>
      </c>
      <c r="T109" s="8"/>
      <c r="V109" s="8" t="s">
        <v>63</v>
      </c>
      <c r="W109" s="8"/>
      <c r="Y109" s="8" t="s">
        <v>63</v>
      </c>
      <c r="Z109" s="8"/>
      <c r="AB109" s="8" t="s">
        <v>63</v>
      </c>
      <c r="AC109" s="8"/>
      <c r="AE109" s="8" t="s">
        <v>63</v>
      </c>
      <c r="AF109" s="8"/>
    </row>
    <row r="110" spans="1:32" x14ac:dyDescent="0.3">
      <c r="A110" s="1" t="s">
        <v>1</v>
      </c>
      <c r="B110" s="1" t="s">
        <v>0</v>
      </c>
      <c r="D110" s="1" t="s">
        <v>1</v>
      </c>
      <c r="E110" s="1" t="s">
        <v>0</v>
      </c>
      <c r="G110" s="1" t="s">
        <v>1</v>
      </c>
      <c r="H110" s="1" t="s">
        <v>0</v>
      </c>
      <c r="J110" s="1" t="s">
        <v>1</v>
      </c>
      <c r="K110" s="1" t="s">
        <v>0</v>
      </c>
      <c r="M110" s="1" t="s">
        <v>1</v>
      </c>
      <c r="N110" s="1" t="s">
        <v>0</v>
      </c>
      <c r="S110" s="1" t="s">
        <v>1</v>
      </c>
      <c r="T110" s="1" t="s">
        <v>0</v>
      </c>
      <c r="V110" s="1" t="s">
        <v>1</v>
      </c>
      <c r="W110" s="1" t="s">
        <v>0</v>
      </c>
      <c r="Y110" s="1" t="s">
        <v>1</v>
      </c>
      <c r="Z110" s="1" t="s">
        <v>0</v>
      </c>
      <c r="AB110" s="1" t="s">
        <v>1</v>
      </c>
      <c r="AC110" s="1" t="s">
        <v>0</v>
      </c>
      <c r="AE110" s="1" t="s">
        <v>1</v>
      </c>
      <c r="AF110" s="1" t="s">
        <v>0</v>
      </c>
    </row>
    <row r="111" spans="1:32" x14ac:dyDescent="0.3">
      <c r="A111" s="4">
        <f>1629129321.00449-1629129320.92265</f>
        <v>8.1839799880981445E-2</v>
      </c>
      <c r="B111" s="3">
        <f>A111*1000</f>
        <v>81.839799880981445</v>
      </c>
      <c r="D111" s="4">
        <f>1629129321.00525-1629129320.92265</f>
        <v>8.2599878311157227E-2</v>
      </c>
      <c r="E111" s="3">
        <f>D111*1000</f>
        <v>82.599878311157227</v>
      </c>
      <c r="G111" s="4">
        <f>1629129321.00504-1629129320.92265</f>
        <v>8.238983154296875E-2</v>
      </c>
      <c r="H111" s="3">
        <f>G111*1000</f>
        <v>82.38983154296875</v>
      </c>
      <c r="J111" s="4">
        <f>1629129321.00501-1629129320.92265</f>
        <v>8.2359790802001953E-2</v>
      </c>
      <c r="K111" s="3">
        <f>J111*1000</f>
        <v>82.359790802001953</v>
      </c>
      <c r="M111" s="4">
        <f>1629129321.00452-1629129320.92265</f>
        <v>8.1869840621948242E-2</v>
      </c>
      <c r="N111" s="3">
        <f>M111*1000</f>
        <v>81.869840621948242</v>
      </c>
      <c r="S111" s="4">
        <f>1629129648.86521-1629129648.78612</f>
        <v>7.9090118408203125E-2</v>
      </c>
      <c r="T111" s="3">
        <f>S111*1000</f>
        <v>79.090118408203125</v>
      </c>
      <c r="V111" s="4">
        <f>1629129648.86619-1629129648.78612</f>
        <v>8.0070018768310547E-2</v>
      </c>
      <c r="W111" s="3">
        <f>V111*1000</f>
        <v>80.070018768310547</v>
      </c>
      <c r="Y111" s="4">
        <f>1629129648.86574-1629129648.78612</f>
        <v>7.9620122909545898E-2</v>
      </c>
      <c r="Z111" s="3">
        <f>Y111*1000</f>
        <v>79.620122909545898</v>
      </c>
      <c r="AB111" s="4">
        <f>1629129648.86601-1629129648.78612</f>
        <v>7.9890012741088867E-2</v>
      </c>
      <c r="AC111" s="3">
        <f>AB111*1000</f>
        <v>79.890012741088867</v>
      </c>
      <c r="AE111" s="4">
        <f>1629129648.86556-1629129648.78612</f>
        <v>7.9440116882324219E-2</v>
      </c>
      <c r="AF111" s="3">
        <f>AE111*1000</f>
        <v>79.440116882324219</v>
      </c>
    </row>
    <row r="112" spans="1:32" x14ac:dyDescent="0.3">
      <c r="A112" s="4">
        <f>1629129322.0917-1629129322.00981</f>
        <v>8.1890106201171875E-2</v>
      </c>
      <c r="B112" s="3">
        <f t="shared" ref="B112:B120" si="64">A112*1000</f>
        <v>81.890106201171875</v>
      </c>
      <c r="D112" s="4">
        <f>1629129322.09219-1629129322.00981</f>
        <v>8.2380056381225586E-2</v>
      </c>
      <c r="E112" s="3">
        <f t="shared" ref="E112:E120" si="65">D112*1000</f>
        <v>82.380056381225586</v>
      </c>
      <c r="G112" s="4">
        <f>1629129322.09246-1629129322.00981</f>
        <v>8.2649946212768555E-2</v>
      </c>
      <c r="H112" s="3">
        <f t="shared" ref="H112:H120" si="66">G112*1000</f>
        <v>82.649946212768555</v>
      </c>
      <c r="J112" s="4">
        <f>1629129322.09203-1629129322.00981</f>
        <v>8.2220077514648438E-2</v>
      </c>
      <c r="K112" s="3">
        <f t="shared" ref="K112:K120" si="67">J112*1000</f>
        <v>82.220077514648438</v>
      </c>
      <c r="M112" s="4">
        <f>1629129322.09293-1629129322.00981</f>
        <v>8.3120107650756836E-2</v>
      </c>
      <c r="N112" s="3">
        <f t="shared" ref="N112:N120" si="68">M112*1000</f>
        <v>83.120107650756836</v>
      </c>
      <c r="S112" s="4">
        <f>1629129649.95032-1629129649.87083</f>
        <v>7.9489946365356445E-2</v>
      </c>
      <c r="T112" s="3">
        <f t="shared" ref="T112:T120" si="69">S112*1000</f>
        <v>79.489946365356445</v>
      </c>
      <c r="V112" s="4">
        <f>1629129649.95123-1629129649.87083</f>
        <v>8.0399990081787109E-2</v>
      </c>
      <c r="W112" s="3">
        <f t="shared" ref="W112:W120" si="70">V112*1000</f>
        <v>80.399990081787109</v>
      </c>
      <c r="Y112" s="4">
        <f>1629129649.95055-1629129649.87083</f>
        <v>7.9720020294189453E-2</v>
      </c>
      <c r="Z112" s="3">
        <f t="shared" ref="Z112:Z120" si="71">Y112*1000</f>
        <v>79.720020294189453</v>
      </c>
      <c r="AB112" s="4">
        <f>1629129649.95094-1629129649.87083</f>
        <v>8.0109834671020508E-2</v>
      </c>
      <c r="AC112" s="3">
        <f t="shared" ref="AC112:AC120" si="72">AB112*1000</f>
        <v>80.109834671020508</v>
      </c>
      <c r="AE112" s="4">
        <f>1629129649.95049-1629129649.87083</f>
        <v>7.9659938812255859E-2</v>
      </c>
      <c r="AF112" s="3">
        <f t="shared" ref="AF112:AF120" si="73">AE112*1000</f>
        <v>79.659938812255859</v>
      </c>
    </row>
    <row r="113" spans="1:32" x14ac:dyDescent="0.3">
      <c r="A113" s="4">
        <f>1629129323.17065-1629129323.09614</f>
        <v>7.4510097503662109E-2</v>
      </c>
      <c r="B113" s="3">
        <f t="shared" si="64"/>
        <v>74.510097503662109</v>
      </c>
      <c r="D113" s="4">
        <f>1629129323.17113-1629129323.09614</f>
        <v>7.4990034103393555E-2</v>
      </c>
      <c r="E113" s="3">
        <f t="shared" si="65"/>
        <v>74.990034103393555</v>
      </c>
      <c r="G113" s="4">
        <f>1629129323.17137-1629129323.09614</f>
        <v>7.5230121612548828E-2</v>
      </c>
      <c r="H113" s="3">
        <f t="shared" si="66"/>
        <v>75.230121612548828</v>
      </c>
      <c r="J113" s="4">
        <f>1629129323.17108-1629129323.09614</f>
        <v>7.4940204620361328E-2</v>
      </c>
      <c r="K113" s="3">
        <f t="shared" si="67"/>
        <v>74.940204620361328</v>
      </c>
      <c r="M113" s="4">
        <f>1629129323.17184-1629129323.09614</f>
        <v>7.5700044631958008E-2</v>
      </c>
      <c r="N113" s="3">
        <f t="shared" si="68"/>
        <v>75.700044631958008</v>
      </c>
      <c r="S113" s="4">
        <f>1629129651.03689-1629129650.95537</f>
        <v>8.152008056640625E-2</v>
      </c>
      <c r="T113" s="3">
        <f t="shared" si="69"/>
        <v>81.52008056640625</v>
      </c>
      <c r="V113" s="4">
        <f>1629129651.0376-1629129650.95537</f>
        <v>8.2230091094970703E-2</v>
      </c>
      <c r="W113" s="3">
        <f t="shared" si="70"/>
        <v>82.230091094970703</v>
      </c>
      <c r="Y113" s="4">
        <f>1629129651.03748-1629129650.95537</f>
        <v>8.2110166549682617E-2</v>
      </c>
      <c r="Z113" s="3">
        <f t="shared" si="71"/>
        <v>82.110166549682617</v>
      </c>
      <c r="AB113" s="4">
        <f>1629129651.03815-1629129650.95537</f>
        <v>8.2780122756958008E-2</v>
      </c>
      <c r="AC113" s="3">
        <f t="shared" si="72"/>
        <v>82.780122756958008</v>
      </c>
      <c r="AE113" s="4">
        <f>1629129651.03728-1629129650.95537</f>
        <v>8.1910133361816406E-2</v>
      </c>
      <c r="AF113" s="3">
        <f t="shared" si="73"/>
        <v>81.910133361816406</v>
      </c>
    </row>
    <row r="114" spans="1:32" x14ac:dyDescent="0.3">
      <c r="A114" s="4">
        <f>1629129324.25737-1629129324.17571</f>
        <v>8.1660032272338867E-2</v>
      </c>
      <c r="B114" s="3">
        <f t="shared" si="64"/>
        <v>81.660032272338867</v>
      </c>
      <c r="D114" s="4">
        <f>1629129324.25786-1629129324.17571</f>
        <v>8.2149982452392578E-2</v>
      </c>
      <c r="E114" s="3">
        <f t="shared" si="65"/>
        <v>82.149982452392578</v>
      </c>
      <c r="G114" s="4">
        <f>1629129324.2576-1629129324.17571</f>
        <v>8.1890106201171875E-2</v>
      </c>
      <c r="H114" s="3">
        <f t="shared" si="66"/>
        <v>81.890106201171875</v>
      </c>
      <c r="J114" s="4">
        <f>1629129324.2578-1629129324.17571</f>
        <v>8.2090139389038086E-2</v>
      </c>
      <c r="K114" s="3">
        <f t="shared" si="67"/>
        <v>82.090139389038086</v>
      </c>
      <c r="M114" s="4">
        <f>1629129324.25838-1629129324.17571</f>
        <v>8.2669973373413086E-2</v>
      </c>
      <c r="N114" s="3">
        <f t="shared" si="68"/>
        <v>82.669973373413086</v>
      </c>
      <c r="S114" s="4">
        <f>1629129652.1229-1629129652.04216</f>
        <v>8.0739974975585938E-2</v>
      </c>
      <c r="T114" s="3">
        <f t="shared" si="69"/>
        <v>80.739974975585938</v>
      </c>
      <c r="V114" s="4">
        <f>1629129652.12344-1629129652.04216</f>
        <v>8.1279993057250977E-2</v>
      </c>
      <c r="W114" s="3">
        <f t="shared" si="70"/>
        <v>81.279993057250977</v>
      </c>
      <c r="Y114" s="4">
        <f>1629129652.12336-1629129652.04216</f>
        <v>8.1199884414672852E-2</v>
      </c>
      <c r="Z114" s="3">
        <f t="shared" si="71"/>
        <v>81.199884414672852</v>
      </c>
      <c r="AB114" s="4">
        <f>1629129652.12406-1629129652.04216</f>
        <v>8.1899881362915039E-2</v>
      </c>
      <c r="AC114" s="3">
        <f t="shared" si="72"/>
        <v>81.899881362915039</v>
      </c>
      <c r="AE114" s="4">
        <f>1629129652.12319-1629129652.04216</f>
        <v>8.1029891967773438E-2</v>
      </c>
      <c r="AF114" s="3">
        <f t="shared" si="73"/>
        <v>81.029891967773438</v>
      </c>
    </row>
    <row r="115" spans="1:32" x14ac:dyDescent="0.3">
      <c r="A115" s="4">
        <f>1629129325.34437-1629129325.26184</f>
        <v>8.2529783248901367E-2</v>
      </c>
      <c r="B115" s="3">
        <f t="shared" si="64"/>
        <v>82.529783248901367</v>
      </c>
      <c r="D115" s="4">
        <f>1629129325.34484-1629129325.26184</f>
        <v>8.2999944686889648E-2</v>
      </c>
      <c r="E115" s="3">
        <f t="shared" si="65"/>
        <v>82.999944686889648</v>
      </c>
      <c r="G115" s="4">
        <f>1629129325.3443-1629129325.26184</f>
        <v>8.2459926605224609E-2</v>
      </c>
      <c r="H115" s="3">
        <f t="shared" si="66"/>
        <v>82.459926605224609</v>
      </c>
      <c r="J115" s="4">
        <f>1629129325.34475-1629129325.26184</f>
        <v>8.2909822463989258E-2</v>
      </c>
      <c r="K115" s="3">
        <f t="shared" si="67"/>
        <v>82.909822463989258</v>
      </c>
      <c r="M115" s="4">
        <f>1629129325.34526-1629129325.26184</f>
        <v>8.34197998046875E-2</v>
      </c>
      <c r="N115" s="3">
        <f t="shared" si="68"/>
        <v>83.4197998046875</v>
      </c>
      <c r="S115" s="4">
        <f>1629129653.20845-1629129653.12829</f>
        <v>8.0160140991210938E-2</v>
      </c>
      <c r="T115" s="3">
        <f t="shared" si="69"/>
        <v>80.160140991210938</v>
      </c>
      <c r="V115" s="4">
        <f>1629129653.20913-1629129653.12829</f>
        <v>8.0840110778808594E-2</v>
      </c>
      <c r="W115" s="3">
        <f t="shared" si="70"/>
        <v>80.840110778808594</v>
      </c>
      <c r="Y115" s="4">
        <f>1629129653.20899-1629129653.12829</f>
        <v>8.0700159072875977E-2</v>
      </c>
      <c r="Z115" s="3">
        <f t="shared" si="71"/>
        <v>80.700159072875977</v>
      </c>
      <c r="AB115" s="4">
        <f>1629129653.20974-1629129653.12829</f>
        <v>8.1449985504150391E-2</v>
      </c>
      <c r="AC115" s="3">
        <f t="shared" si="72"/>
        <v>81.449985504150391</v>
      </c>
      <c r="AE115" s="4">
        <f>1629129653.20872-1629129653.12829</f>
        <v>8.0430030822753906E-2</v>
      </c>
      <c r="AF115" s="3">
        <f t="shared" si="73"/>
        <v>80.430030822753906</v>
      </c>
    </row>
    <row r="116" spans="1:32" x14ac:dyDescent="0.3">
      <c r="A116" s="4">
        <f>1629129326.4239-1629129326.34846</f>
        <v>7.5439929962158203E-2</v>
      </c>
      <c r="B116" s="3">
        <f t="shared" si="64"/>
        <v>75.439929962158203</v>
      </c>
      <c r="D116" s="4">
        <f>1629129326.42443-1629129326.34846</f>
        <v>7.5969934463500977E-2</v>
      </c>
      <c r="E116" s="3">
        <f t="shared" si="65"/>
        <v>75.969934463500977</v>
      </c>
      <c r="G116" s="4">
        <f>1629129326.42377-1629129326.34846</f>
        <v>7.5309991836547852E-2</v>
      </c>
      <c r="H116" s="3">
        <f t="shared" si="66"/>
        <v>75.309991836547852</v>
      </c>
      <c r="J116" s="4">
        <f>1629129326.42446-1629129326.34846</f>
        <v>7.5999975204467773E-2</v>
      </c>
      <c r="K116" s="3">
        <f t="shared" si="67"/>
        <v>75.999975204467773</v>
      </c>
      <c r="M116" s="4">
        <f>1629129326.42491-1629129326.34846</f>
        <v>7.6450109481811523E-2</v>
      </c>
      <c r="N116" s="3">
        <f t="shared" si="68"/>
        <v>76.450109481811523</v>
      </c>
      <c r="S116" s="4">
        <f>1629129654.29346-1629129654.21416</f>
        <v>7.92999267578125E-2</v>
      </c>
      <c r="T116" s="3">
        <f t="shared" si="69"/>
        <v>79.2999267578125</v>
      </c>
      <c r="V116" s="4">
        <f>1629129654.29407-1629129654.21416</f>
        <v>7.9910039901733398E-2</v>
      </c>
      <c r="W116" s="3">
        <f t="shared" si="70"/>
        <v>79.910039901733398</v>
      </c>
      <c r="Y116" s="4">
        <f>1629129654.29382-1629129654.21416</f>
        <v>7.9659938812255859E-2</v>
      </c>
      <c r="Z116" s="3">
        <f t="shared" si="71"/>
        <v>79.659938812255859</v>
      </c>
      <c r="AB116" s="4">
        <f>1629129654.29492-1629129654.21416</f>
        <v>8.0760002136230469E-2</v>
      </c>
      <c r="AC116" s="3">
        <f t="shared" si="72"/>
        <v>80.760002136230469</v>
      </c>
      <c r="AE116" s="4">
        <f>1629129654.29371-1629129654.21416</f>
        <v>7.9550027847290039E-2</v>
      </c>
      <c r="AF116" s="3">
        <f t="shared" si="73"/>
        <v>79.550027847290039</v>
      </c>
    </row>
    <row r="117" spans="1:32" x14ac:dyDescent="0.3">
      <c r="A117" s="4">
        <f>1629129327.50989-1629129327.42945</f>
        <v>8.0440044403076172E-2</v>
      </c>
      <c r="B117" s="3">
        <f t="shared" si="64"/>
        <v>80.440044403076172</v>
      </c>
      <c r="D117" s="4">
        <f>1629129327.5093-1629129327.42945</f>
        <v>7.9849958419799805E-2</v>
      </c>
      <c r="E117" s="3">
        <f t="shared" si="65"/>
        <v>79.849958419799805</v>
      </c>
      <c r="G117" s="4">
        <f>1629129327.50863-1629129327.42945</f>
        <v>7.9180002212524414E-2</v>
      </c>
      <c r="H117" s="3">
        <f t="shared" si="66"/>
        <v>79.180002212524414</v>
      </c>
      <c r="J117" s="4">
        <f>1629129327.50946-1629129327.42945</f>
        <v>8.0009937286376953E-2</v>
      </c>
      <c r="K117" s="3">
        <f t="shared" si="67"/>
        <v>80.009937286376953</v>
      </c>
      <c r="M117" s="4">
        <f>1629129327.50869-1629129327.42945</f>
        <v>7.9240083694458008E-2</v>
      </c>
      <c r="N117" s="3">
        <f t="shared" si="68"/>
        <v>79.240083694458008</v>
      </c>
      <c r="S117" s="4">
        <f>1629129655.38222-1629129655.29908</f>
        <v>8.3140134811401367E-2</v>
      </c>
      <c r="T117" s="3">
        <f t="shared" si="69"/>
        <v>83.140134811401367</v>
      </c>
      <c r="V117" s="4">
        <f>1629129655.3828-1629129655.29908</f>
        <v>8.3720207214355469E-2</v>
      </c>
      <c r="W117" s="3">
        <f t="shared" si="70"/>
        <v>83.720207214355469</v>
      </c>
      <c r="Y117" s="4">
        <f>1629129655.38265-1629129655.29908</f>
        <v>8.3570003509521484E-2</v>
      </c>
      <c r="Z117" s="3">
        <f t="shared" si="71"/>
        <v>83.570003509521484</v>
      </c>
      <c r="AB117" s="4">
        <f>1629129655.38338-1629129655.29908</f>
        <v>8.4300041198730469E-2</v>
      </c>
      <c r="AC117" s="3">
        <f t="shared" si="72"/>
        <v>84.300041198730469</v>
      </c>
      <c r="AE117" s="4">
        <f>1629129655.38255-1629129655.29908</f>
        <v>8.347010612487793E-2</v>
      </c>
      <c r="AF117" s="3">
        <f t="shared" si="73"/>
        <v>83.47010612487793</v>
      </c>
    </row>
    <row r="118" spans="1:32" x14ac:dyDescent="0.3">
      <c r="A118" s="4">
        <f>1629129328.59823-1629129328.51356</f>
        <v>8.4669828414916992E-2</v>
      </c>
      <c r="B118" s="3">
        <f t="shared" si="64"/>
        <v>84.669828414916992</v>
      </c>
      <c r="D118" s="4">
        <f>1629129328.59846-1629129328.51356</f>
        <v>8.489990234375E-2</v>
      </c>
      <c r="E118" s="3">
        <f t="shared" si="65"/>
        <v>84.89990234375</v>
      </c>
      <c r="G118" s="4">
        <f>1629129328.59751-1629129328.51356</f>
        <v>8.3950042724609375E-2</v>
      </c>
      <c r="H118" s="3">
        <f t="shared" si="66"/>
        <v>83.950042724609375</v>
      </c>
      <c r="J118" s="4">
        <f>1629129328.5989-1629129328.51356</f>
        <v>8.5340023040771484E-2</v>
      </c>
      <c r="K118" s="3">
        <f t="shared" si="67"/>
        <v>85.340023040771484</v>
      </c>
      <c r="M118" s="4">
        <f>1629129328.59777-1629129328.51356</f>
        <v>8.4209918975830078E-2</v>
      </c>
      <c r="N118" s="3">
        <f t="shared" si="68"/>
        <v>84.209918975830078</v>
      </c>
      <c r="S118" s="4">
        <f>1629129656.47074-1629129656.3877</f>
        <v>8.3039999008178711E-2</v>
      </c>
      <c r="T118" s="3">
        <f t="shared" si="69"/>
        <v>83.039999008178711</v>
      </c>
      <c r="V118" s="4">
        <f>1629129656.47139-1629129656.3877</f>
        <v>8.368992805480957E-2</v>
      </c>
      <c r="W118" s="3">
        <f t="shared" si="70"/>
        <v>83.68992805480957</v>
      </c>
      <c r="Y118" s="4">
        <f>1629129656.47158-1629129656.3877</f>
        <v>8.3879947662353516E-2</v>
      </c>
      <c r="Z118" s="3">
        <f t="shared" si="71"/>
        <v>83.879947662353516</v>
      </c>
      <c r="AB118" s="4">
        <f>1629129656.47221-1629129656.3877</f>
        <v>8.4509849548339844E-2</v>
      </c>
      <c r="AC118" s="3">
        <f t="shared" si="72"/>
        <v>84.509849548339844</v>
      </c>
      <c r="AE118" s="4">
        <f>1629129656.47133-1629129656.3877</f>
        <v>8.3629846572875977E-2</v>
      </c>
      <c r="AF118" s="3">
        <f t="shared" si="73"/>
        <v>83.629846572875977</v>
      </c>
    </row>
    <row r="119" spans="1:32" x14ac:dyDescent="0.3">
      <c r="A119" s="4">
        <f>1629129329.6888-1629129329.6043</f>
        <v>8.450007438659668E-2</v>
      </c>
      <c r="B119" s="3">
        <f t="shared" si="64"/>
        <v>84.50007438659668</v>
      </c>
      <c r="D119" s="4">
        <f>1629129329.68876-1629129329.6043</f>
        <v>8.4460020065307617E-2</v>
      </c>
      <c r="E119" s="3">
        <f t="shared" si="65"/>
        <v>84.460020065307617</v>
      </c>
      <c r="G119" s="4">
        <f>1629129329.68812-1629129329.6043</f>
        <v>8.3819866180419922E-2</v>
      </c>
      <c r="H119" s="3">
        <f t="shared" si="66"/>
        <v>83.819866180419922</v>
      </c>
      <c r="J119" s="4">
        <f>1629129329.68929-1629129329.6043</f>
        <v>8.4990024566650391E-2</v>
      </c>
      <c r="K119" s="3">
        <f t="shared" si="67"/>
        <v>84.990024566650391</v>
      </c>
      <c r="M119" s="4">
        <f>1629129329.68838-1629129329.6043</f>
        <v>8.4079980850219727E-2</v>
      </c>
      <c r="N119" s="3">
        <f t="shared" si="68"/>
        <v>84.079980850219727</v>
      </c>
      <c r="S119" s="4">
        <f>1629129657.55664-1629129657.47651</f>
        <v>8.0129861831665039E-2</v>
      </c>
      <c r="T119" s="3">
        <f t="shared" si="69"/>
        <v>80.129861831665039</v>
      </c>
      <c r="V119" s="4">
        <f>1629129657.5572-1629129657.47651</f>
        <v>8.0689907073974609E-2</v>
      </c>
      <c r="W119" s="3">
        <f t="shared" si="70"/>
        <v>80.689907073974609</v>
      </c>
      <c r="Y119" s="4">
        <f>1629129657.55704-1629129657.47651</f>
        <v>8.0529928207397461E-2</v>
      </c>
      <c r="Z119" s="3">
        <f t="shared" si="71"/>
        <v>80.529928207397461</v>
      </c>
      <c r="AB119" s="4">
        <f>1629129657.55774-1629129657.47651</f>
        <v>8.1229925155639648E-2</v>
      </c>
      <c r="AC119" s="3">
        <f t="shared" si="72"/>
        <v>81.229925155639648</v>
      </c>
      <c r="AE119" s="4">
        <f>1629129657.55691-1629129657.47651</f>
        <v>8.0399990081787109E-2</v>
      </c>
      <c r="AF119" s="3">
        <f t="shared" si="73"/>
        <v>80.399990081787109</v>
      </c>
    </row>
    <row r="120" spans="1:32" x14ac:dyDescent="0.3">
      <c r="A120" s="4">
        <f>1629129330.77592-1629129330.69312</f>
        <v>8.2799911499023438E-2</v>
      </c>
      <c r="B120" s="3">
        <f t="shared" si="64"/>
        <v>82.799911499023438</v>
      </c>
      <c r="D120" s="4">
        <f>1629129330.77977-1629129330.69312</f>
        <v>8.6649894714355469E-2</v>
      </c>
      <c r="E120" s="3">
        <f t="shared" si="65"/>
        <v>86.649894714355469</v>
      </c>
      <c r="G120" s="4">
        <f>1629129330.77134-1629129330.69312</f>
        <v>7.8219890594482422E-2</v>
      </c>
      <c r="H120" s="3">
        <f t="shared" si="66"/>
        <v>78.219890594482422</v>
      </c>
      <c r="J120" s="4">
        <f>1629129330.77604-1629129330.69312</f>
        <v>8.2920074462890625E-2</v>
      </c>
      <c r="K120" s="3">
        <f t="shared" si="67"/>
        <v>82.920074462890625</v>
      </c>
      <c r="M120" s="4">
        <f>1629129330.77146-1629129330.69312</f>
        <v>7.8340053558349609E-2</v>
      </c>
      <c r="N120" s="3">
        <f t="shared" si="68"/>
        <v>78.340053558349609</v>
      </c>
      <c r="S120" s="4">
        <f>1629129658.64186-1629129658.5623</f>
        <v>7.9560041427612305E-2</v>
      </c>
      <c r="T120" s="3">
        <f t="shared" si="69"/>
        <v>79.560041427612305</v>
      </c>
      <c r="V120" s="4">
        <f>1629129658.6467-1629129658.5623</f>
        <v>8.4399938583374023E-2</v>
      </c>
      <c r="W120" s="3">
        <f t="shared" si="70"/>
        <v>84.399938583374023</v>
      </c>
      <c r="Y120" s="4">
        <f>1629129658.64236-1629129658.5623</f>
        <v>8.0060005187988281E-2</v>
      </c>
      <c r="Z120" s="3">
        <f t="shared" si="71"/>
        <v>80.060005187988281</v>
      </c>
      <c r="AB120" s="4">
        <f>1629129658.64361-1629129658.5623</f>
        <v>8.1310033798217773E-2</v>
      </c>
      <c r="AC120" s="3">
        <f t="shared" si="72"/>
        <v>81.310033798217773</v>
      </c>
      <c r="AE120" s="4">
        <f>1629129658.64217-1629129658.5623</f>
        <v>7.9869985580444336E-2</v>
      </c>
      <c r="AF120" s="3">
        <f t="shared" si="73"/>
        <v>79.869985580444336</v>
      </c>
    </row>
    <row r="121" spans="1:32" x14ac:dyDescent="0.3">
      <c r="B121" s="2">
        <f>AVERAGE(B111:B120)</f>
        <v>81.027960777282715</v>
      </c>
      <c r="E121" s="2">
        <f>AVERAGE(E111:E120)</f>
        <v>81.694960594177246</v>
      </c>
      <c r="H121" s="2">
        <f>AVERAGE(H111:H120)</f>
        <v>80.50997257232666</v>
      </c>
      <c r="K121" s="2">
        <f>AVERAGE(K111:K120)</f>
        <v>81.378006935119629</v>
      </c>
      <c r="N121" s="2">
        <f>AVERAGE(N111:N120)</f>
        <v>80.909991264343262</v>
      </c>
      <c r="T121" s="2">
        <f>AVERAGE(T111:T120)</f>
        <v>80.617022514343262</v>
      </c>
      <c r="W121" s="2">
        <f>AVERAGE(W111:W120)</f>
        <v>81.7230224609375</v>
      </c>
      <c r="Z121" s="2">
        <f>AVERAGE(Z111:Z120)</f>
        <v>81.10501766204834</v>
      </c>
      <c r="AC121" s="2">
        <f>AVERAGE(AC111:AC120)</f>
        <v>81.823968887329102</v>
      </c>
      <c r="AF121" s="2">
        <f>AVERAGE(AF111:AF120)</f>
        <v>80.939006805419922</v>
      </c>
    </row>
    <row r="123" spans="1:32" x14ac:dyDescent="0.3">
      <c r="A123" s="6" t="s">
        <v>42</v>
      </c>
      <c r="B123" s="6"/>
      <c r="D123" s="6" t="s">
        <v>43</v>
      </c>
      <c r="E123" s="6"/>
      <c r="G123" s="6" t="s">
        <v>44</v>
      </c>
      <c r="H123" s="6"/>
      <c r="J123" s="6" t="s">
        <v>45</v>
      </c>
      <c r="K123" s="6"/>
      <c r="M123" s="6" t="s">
        <v>46</v>
      </c>
      <c r="N123" s="6"/>
      <c r="S123" s="6" t="s">
        <v>42</v>
      </c>
      <c r="T123" s="6"/>
      <c r="V123" s="6" t="s">
        <v>43</v>
      </c>
      <c r="W123" s="6"/>
      <c r="Y123" s="6" t="s">
        <v>44</v>
      </c>
      <c r="Z123" s="6"/>
      <c r="AB123" s="6" t="s">
        <v>45</v>
      </c>
      <c r="AC123" s="6"/>
      <c r="AE123" s="6" t="s">
        <v>46</v>
      </c>
      <c r="AF123" s="6"/>
    </row>
    <row r="124" spans="1:32" ht="45" customHeight="1" x14ac:dyDescent="0.3">
      <c r="A124" s="8" t="s">
        <v>62</v>
      </c>
      <c r="B124" s="8"/>
      <c r="D124" s="8" t="s">
        <v>62</v>
      </c>
      <c r="E124" s="8"/>
      <c r="G124" s="8" t="s">
        <v>62</v>
      </c>
      <c r="H124" s="8"/>
      <c r="J124" s="8" t="s">
        <v>62</v>
      </c>
      <c r="K124" s="8"/>
      <c r="M124" s="8" t="s">
        <v>62</v>
      </c>
      <c r="N124" s="8"/>
      <c r="S124" s="8" t="s">
        <v>63</v>
      </c>
      <c r="T124" s="8"/>
      <c r="V124" s="8" t="s">
        <v>63</v>
      </c>
      <c r="W124" s="8"/>
      <c r="Y124" s="8" t="s">
        <v>63</v>
      </c>
      <c r="Z124" s="8"/>
      <c r="AB124" s="8" t="s">
        <v>63</v>
      </c>
      <c r="AC124" s="8"/>
      <c r="AE124" s="8" t="s">
        <v>63</v>
      </c>
      <c r="AF124" s="8"/>
    </row>
    <row r="125" spans="1:32" x14ac:dyDescent="0.3">
      <c r="A125" s="1" t="s">
        <v>1</v>
      </c>
      <c r="B125" s="1" t="s">
        <v>0</v>
      </c>
      <c r="D125" s="1" t="s">
        <v>1</v>
      </c>
      <c r="E125" s="1" t="s">
        <v>0</v>
      </c>
      <c r="G125" s="1" t="s">
        <v>1</v>
      </c>
      <c r="H125" s="1" t="s">
        <v>0</v>
      </c>
      <c r="J125" s="1" t="s">
        <v>1</v>
      </c>
      <c r="K125" s="1" t="s">
        <v>0</v>
      </c>
      <c r="M125" s="1" t="s">
        <v>1</v>
      </c>
      <c r="N125" s="1" t="s">
        <v>0</v>
      </c>
      <c r="S125" s="1" t="s">
        <v>1</v>
      </c>
      <c r="T125" s="1" t="s">
        <v>0</v>
      </c>
      <c r="V125" s="1" t="s">
        <v>1</v>
      </c>
      <c r="W125" s="1" t="s">
        <v>0</v>
      </c>
      <c r="Y125" s="1" t="s">
        <v>1</v>
      </c>
      <c r="Z125" s="1" t="s">
        <v>0</v>
      </c>
      <c r="AB125" s="1" t="s">
        <v>1</v>
      </c>
      <c r="AC125" s="1" t="s">
        <v>0</v>
      </c>
      <c r="AE125" s="1" t="s">
        <v>1</v>
      </c>
      <c r="AF125" s="1" t="s">
        <v>0</v>
      </c>
    </row>
    <row r="126" spans="1:32" x14ac:dyDescent="0.3">
      <c r="A126" s="4">
        <f>1629129321.00698-1629129320.92265</f>
        <v>8.4329843521118164E-2</v>
      </c>
      <c r="B126" s="3">
        <f>A126*1000</f>
        <v>84.329843521118164</v>
      </c>
      <c r="D126" s="4">
        <f>1629129321.00706-1629129320.92265</f>
        <v>8.4409952163696289E-2</v>
      </c>
      <c r="E126" s="3">
        <f>D126*1000</f>
        <v>84.409952163696289</v>
      </c>
      <c r="G126" s="4">
        <f>1629129321.00771-1629129320.92265</f>
        <v>8.5059881210327148E-2</v>
      </c>
      <c r="H126" s="3">
        <f>G126*1000</f>
        <v>85.059881210327148</v>
      </c>
      <c r="J126" s="4">
        <f>1629129321.00728-1629129320.92265</f>
        <v>8.4630012512207031E-2</v>
      </c>
      <c r="K126" s="3">
        <f>J126*1000</f>
        <v>84.630012512207031</v>
      </c>
      <c r="M126" s="4">
        <f>1629129321.0079-1629129320.92265</f>
        <v>8.5249900817871094E-2</v>
      </c>
      <c r="N126" s="3">
        <f>M126*1000</f>
        <v>85.249900817871094</v>
      </c>
      <c r="S126" s="4">
        <f>1629129648.86745-1629129648.78612</f>
        <v>8.1330060958862305E-2</v>
      </c>
      <c r="T126" s="3">
        <f>S126*1000</f>
        <v>81.330060958862305</v>
      </c>
      <c r="V126" s="4">
        <f>1629129648.86815-1629129648.78612</f>
        <v>8.2030057907104492E-2</v>
      </c>
      <c r="W126" s="3">
        <f>V126*1000</f>
        <v>82.030057907104492</v>
      </c>
      <c r="Y126" s="4">
        <f>1629129648.86689-1629129648.78612</f>
        <v>8.0770015716552734E-2</v>
      </c>
      <c r="Z126" s="3">
        <f>Y126*1000</f>
        <v>80.770015716552734</v>
      </c>
      <c r="AB126" s="4">
        <f>1629129648.86693-1629129648.78612</f>
        <v>8.0810070037841797E-2</v>
      </c>
      <c r="AC126" s="3">
        <f>AB126*1000</f>
        <v>80.810070037841797</v>
      </c>
      <c r="AE126" s="4">
        <f>1629129648.86709-1629129648.78612</f>
        <v>8.0970048904418945E-2</v>
      </c>
      <c r="AF126" s="3">
        <f>AE126*1000</f>
        <v>80.970048904418945</v>
      </c>
    </row>
    <row r="127" spans="1:32" x14ac:dyDescent="0.3">
      <c r="A127" s="4">
        <f>1629129322.0939-1629129322.00981</f>
        <v>8.4089994430541992E-2</v>
      </c>
      <c r="B127" s="3">
        <f t="shared" ref="B127:B135" si="74">A127*1000</f>
        <v>84.089994430541992</v>
      </c>
      <c r="D127" s="4">
        <f>1629129322.09399-1629129322.00981</f>
        <v>8.4180116653442383E-2</v>
      </c>
      <c r="E127" s="3">
        <f t="shared" ref="E127:E135" si="75">D127*1000</f>
        <v>84.180116653442383</v>
      </c>
      <c r="G127" s="4">
        <f>1629129322.09451-1629129322.00981</f>
        <v>8.4700107574462891E-2</v>
      </c>
      <c r="H127" s="3">
        <f t="shared" ref="H127:H135" si="76">G127*1000</f>
        <v>84.700107574462891</v>
      </c>
      <c r="J127" s="4">
        <f>1629129322.09426-1629129322.00981</f>
        <v>8.4450006484985352E-2</v>
      </c>
      <c r="K127" s="3">
        <f t="shared" ref="K127:K135" si="77">J127*1000</f>
        <v>84.450006484985352</v>
      </c>
      <c r="M127" s="4">
        <f>1629129322.09504-1629129322.00981</f>
        <v>8.5230112075805664E-2</v>
      </c>
      <c r="N127" s="3">
        <f t="shared" ref="N127:N135" si="78">M127*1000</f>
        <v>85.230112075805664</v>
      </c>
      <c r="S127" s="4">
        <f>1629129649.95282-1629129649.87083</f>
        <v>8.199000358581543E-2</v>
      </c>
      <c r="T127" s="3">
        <f t="shared" ref="T127:T135" si="79">S127*1000</f>
        <v>81.99000358581543</v>
      </c>
      <c r="V127" s="4">
        <f>1629129649.95253-1629129649.87083</f>
        <v>8.1699848175048828E-2</v>
      </c>
      <c r="W127" s="3">
        <f t="shared" ref="W127:W135" si="80">V127*1000</f>
        <v>81.699848175048828</v>
      </c>
      <c r="Y127" s="4">
        <f>1629129649.95184-1629129649.87083</f>
        <v>8.1009864807128906E-2</v>
      </c>
      <c r="Z127" s="3">
        <f t="shared" ref="Z127:Z135" si="81">Y127*1000</f>
        <v>81.009864807128906</v>
      </c>
      <c r="AB127" s="4">
        <f>1629129649.95191-1629129649.87083</f>
        <v>8.1079959869384766E-2</v>
      </c>
      <c r="AC127" s="3">
        <f t="shared" ref="AC127:AC135" si="82">AB127*1000</f>
        <v>81.079959869384766</v>
      </c>
      <c r="AE127" s="4">
        <f>1629129649.95195-1629129649.87083</f>
        <v>8.1120014190673828E-2</v>
      </c>
      <c r="AF127" s="3">
        <f t="shared" ref="AF127:AF135" si="83">AE127*1000</f>
        <v>81.120014190673828</v>
      </c>
    </row>
    <row r="128" spans="1:32" x14ac:dyDescent="0.3">
      <c r="A128" s="4">
        <f>1629129323.17296-1629129323.09614</f>
        <v>7.6820135116577148E-2</v>
      </c>
      <c r="B128" s="3">
        <f t="shared" si="74"/>
        <v>76.820135116577148</v>
      </c>
      <c r="D128" s="4">
        <f>1629129323.17314-1629129323.09614</f>
        <v>7.7000141143798828E-2</v>
      </c>
      <c r="E128" s="3">
        <f t="shared" si="75"/>
        <v>77.000141143798828</v>
      </c>
      <c r="G128" s="4">
        <f>1629129323.1737-1629129323.09614</f>
        <v>7.7560186386108398E-2</v>
      </c>
      <c r="H128" s="3">
        <f t="shared" si="76"/>
        <v>77.560186386108398</v>
      </c>
      <c r="J128" s="4">
        <f>1629129323.1734-1629129323.09614</f>
        <v>7.7260017395019531E-2</v>
      </c>
      <c r="K128" s="3">
        <f t="shared" si="77"/>
        <v>77.260017395019531</v>
      </c>
      <c r="M128" s="4">
        <f>1629129323.17422-1629129323.09614</f>
        <v>7.8080177307128906E-2</v>
      </c>
      <c r="N128" s="3">
        <f t="shared" si="78"/>
        <v>78.080177307128906</v>
      </c>
      <c r="S128" s="4">
        <f>1629129651.03943-1629129650.95537</f>
        <v>8.4059953689575195E-2</v>
      </c>
      <c r="T128" s="3">
        <f t="shared" si="79"/>
        <v>84.059953689575195</v>
      </c>
      <c r="V128" s="4">
        <f>1629129651.03832-1629129650.95537</f>
        <v>8.2950115203857422E-2</v>
      </c>
      <c r="W128" s="3">
        <f t="shared" si="80"/>
        <v>82.950115203857422</v>
      </c>
      <c r="Y128" s="4">
        <f>1629129651.03846-1629129650.95537</f>
        <v>8.3090066909790039E-2</v>
      </c>
      <c r="Z128" s="3">
        <f t="shared" si="81"/>
        <v>83.090066909790039</v>
      </c>
      <c r="AB128" s="4">
        <f>1629129651.03904-1629129650.95537</f>
        <v>8.3670139312744141E-2</v>
      </c>
      <c r="AC128" s="3">
        <f t="shared" si="82"/>
        <v>83.670139312744141</v>
      </c>
      <c r="AE128" s="4">
        <f>1629129651.03878-1629129650.95537</f>
        <v>8.3410024642944336E-2</v>
      </c>
      <c r="AF128" s="3">
        <f t="shared" si="83"/>
        <v>83.410024642944336</v>
      </c>
    </row>
    <row r="129" spans="1:32" x14ac:dyDescent="0.3">
      <c r="A129" s="4">
        <f>1629129324.25967-1629129324.17571</f>
        <v>8.3960056304931641E-2</v>
      </c>
      <c r="B129" s="3">
        <f t="shared" si="74"/>
        <v>83.960056304931641</v>
      </c>
      <c r="D129" s="4">
        <f>1629129324.25977-1629129324.17571</f>
        <v>8.4059953689575195E-2</v>
      </c>
      <c r="E129" s="3">
        <f t="shared" si="75"/>
        <v>84.059953689575195</v>
      </c>
      <c r="G129" s="4">
        <f>1629129324.26022-1629129324.17571</f>
        <v>8.4510087966918945E-2</v>
      </c>
      <c r="H129" s="3">
        <f t="shared" si="76"/>
        <v>84.510087966918945</v>
      </c>
      <c r="J129" s="4">
        <f>1629129324.25999-1629129324.17571</f>
        <v>8.4280014038085938E-2</v>
      </c>
      <c r="K129" s="3">
        <f t="shared" si="77"/>
        <v>84.280014038085938</v>
      </c>
      <c r="M129" s="4">
        <f>1629129324.2607-1629129324.17571</f>
        <v>8.4990024566650391E-2</v>
      </c>
      <c r="N129" s="3">
        <f t="shared" si="78"/>
        <v>84.990024566650391</v>
      </c>
      <c r="S129" s="4">
        <f>1629129652.12561-1629129652.04216</f>
        <v>8.3450078964233398E-2</v>
      </c>
      <c r="T129" s="3">
        <f t="shared" si="79"/>
        <v>83.450078964233398</v>
      </c>
      <c r="V129" s="4">
        <f>1629129652.1246-1629129652.04216</f>
        <v>8.2439899444580078E-2</v>
      </c>
      <c r="W129" s="3">
        <f t="shared" si="80"/>
        <v>82.439899444580078</v>
      </c>
      <c r="Y129" s="4">
        <f>1629129652.12464-1629129652.04216</f>
        <v>8.2479953765869141E-2</v>
      </c>
      <c r="Z129" s="3">
        <f t="shared" si="81"/>
        <v>82.479953765869141</v>
      </c>
      <c r="AB129" s="4">
        <f>1629129652.12529-1629129652.04216</f>
        <v>8.31298828125E-2</v>
      </c>
      <c r="AC129" s="3">
        <f t="shared" si="82"/>
        <v>83.1298828125</v>
      </c>
      <c r="AE129" s="4">
        <f>1629129652.12494-1629129652.04216</f>
        <v>8.2779884338378906E-2</v>
      </c>
      <c r="AF129" s="3">
        <f t="shared" si="83"/>
        <v>82.779884338378906</v>
      </c>
    </row>
    <row r="130" spans="1:32" x14ac:dyDescent="0.3">
      <c r="A130" s="4">
        <f>1629129325.34666-1629129325.26184</f>
        <v>8.4819793701171875E-2</v>
      </c>
      <c r="B130" s="3">
        <f t="shared" si="74"/>
        <v>84.819793701171875</v>
      </c>
      <c r="D130" s="4">
        <f>1629129325.34675-1629129325.26184</f>
        <v>8.4909915924072266E-2</v>
      </c>
      <c r="E130" s="3">
        <f t="shared" si="75"/>
        <v>84.909915924072266</v>
      </c>
      <c r="G130" s="4">
        <f>1629129325.34727-1629129325.26184</f>
        <v>8.5429906845092773E-2</v>
      </c>
      <c r="H130" s="3">
        <f t="shared" si="76"/>
        <v>85.429906845092773</v>
      </c>
      <c r="J130" s="4">
        <f>1629129325.34701-1629129325.26184</f>
        <v>8.5169792175292969E-2</v>
      </c>
      <c r="K130" s="3">
        <f t="shared" si="77"/>
        <v>85.169792175292969</v>
      </c>
      <c r="M130" s="4">
        <f>1629129325.34771-1629129325.26184</f>
        <v>8.5869789123535156E-2</v>
      </c>
      <c r="N130" s="3">
        <f t="shared" si="78"/>
        <v>85.869789123535156</v>
      </c>
      <c r="S130" s="4">
        <f>1629129653.21106-1629129653.12829</f>
        <v>8.2770109176635742E-2</v>
      </c>
      <c r="T130" s="3">
        <f t="shared" si="79"/>
        <v>82.770109176635742</v>
      </c>
      <c r="V130" s="4">
        <f>1629129653.20996-1629129653.12829</f>
        <v>8.1670045852661133E-2</v>
      </c>
      <c r="W130" s="3">
        <f t="shared" si="80"/>
        <v>81.670045852661133</v>
      </c>
      <c r="Y130" s="4">
        <f>1629129653.21002-1629129653.12829</f>
        <v>8.1730127334594727E-2</v>
      </c>
      <c r="Z130" s="3">
        <f t="shared" si="81"/>
        <v>81.730127334594727</v>
      </c>
      <c r="AB130" s="4">
        <f>1629129653.21066-1629129653.12829</f>
        <v>8.237004280090332E-2</v>
      </c>
      <c r="AC130" s="3">
        <f t="shared" si="82"/>
        <v>82.37004280090332</v>
      </c>
      <c r="AE130" s="4">
        <f>1629129653.2105-1629129653.12829</f>
        <v>8.2210063934326172E-2</v>
      </c>
      <c r="AF130" s="3">
        <f t="shared" si="83"/>
        <v>82.210063934326172</v>
      </c>
    </row>
    <row r="131" spans="1:32" x14ac:dyDescent="0.3">
      <c r="A131" s="4">
        <f>1629129326.42651-1629129326.34846</f>
        <v>7.8050136566162109E-2</v>
      </c>
      <c r="B131" s="3">
        <f t="shared" si="74"/>
        <v>78.050136566162109</v>
      </c>
      <c r="D131" s="4">
        <f>1629129326.42651-1629129326.34846</f>
        <v>7.8050136566162109E-2</v>
      </c>
      <c r="E131" s="3">
        <f t="shared" si="75"/>
        <v>78.050136566162109</v>
      </c>
      <c r="G131" s="4">
        <f>1629129326.4271-1629129326.34846</f>
        <v>7.8639984130859375E-2</v>
      </c>
      <c r="H131" s="3">
        <f t="shared" si="76"/>
        <v>78.639984130859375</v>
      </c>
      <c r="J131" s="4">
        <f>1629129326.4268-1629129326.34846</f>
        <v>7.8340053558349609E-2</v>
      </c>
      <c r="K131" s="3">
        <f t="shared" si="77"/>
        <v>78.340053558349609</v>
      </c>
      <c r="M131" s="4">
        <f>1629129326.42748-1629129326.34846</f>
        <v>7.9020023345947266E-2</v>
      </c>
      <c r="N131" s="3">
        <f t="shared" si="78"/>
        <v>79.020023345947266</v>
      </c>
      <c r="S131" s="4">
        <f>1629129654.29592-1629129654.21416</f>
        <v>8.1759929656982422E-2</v>
      </c>
      <c r="T131" s="3">
        <f t="shared" si="79"/>
        <v>81.759929656982422</v>
      </c>
      <c r="V131" s="4">
        <f>1629129654.29484-1629129654.21416</f>
        <v>8.0680131912231445E-2</v>
      </c>
      <c r="W131" s="3">
        <f t="shared" si="80"/>
        <v>80.680131912231445</v>
      </c>
      <c r="Y131" s="4">
        <f>1629129654.29496-1629129654.21416</f>
        <v>8.0800056457519531E-2</v>
      </c>
      <c r="Z131" s="3">
        <f t="shared" si="81"/>
        <v>80.800056457519531</v>
      </c>
      <c r="AB131" s="4">
        <f>1629129654.2955-1629129654.21416</f>
        <v>8.134007453918457E-2</v>
      </c>
      <c r="AC131" s="3">
        <f t="shared" si="82"/>
        <v>81.34007453918457</v>
      </c>
      <c r="AE131" s="4">
        <f>1629129654.29538-1629129654.21416</f>
        <v>8.1220149993896484E-2</v>
      </c>
      <c r="AF131" s="3">
        <f t="shared" si="83"/>
        <v>81.220149993896484</v>
      </c>
    </row>
    <row r="132" spans="1:32" x14ac:dyDescent="0.3">
      <c r="A132" s="4">
        <f>1629129327.51118-1629129327.42945</f>
        <v>8.1729888916015625E-2</v>
      </c>
      <c r="B132" s="3">
        <f t="shared" si="74"/>
        <v>81.729888916015625</v>
      </c>
      <c r="D132" s="4">
        <f>1629129327.5113-1629129327.42945</f>
        <v>8.1850051879882813E-2</v>
      </c>
      <c r="E132" s="3">
        <f t="shared" si="75"/>
        <v>81.850051879882813</v>
      </c>
      <c r="G132" s="4">
        <f>1629129327.51175-1629129327.42945</f>
        <v>8.2299947738647461E-2</v>
      </c>
      <c r="H132" s="3">
        <f t="shared" si="76"/>
        <v>82.299947738647461</v>
      </c>
      <c r="J132" s="4">
        <f>1629129327.51152-1629129327.42945</f>
        <v>8.2069873809814453E-2</v>
      </c>
      <c r="K132" s="3">
        <f t="shared" si="77"/>
        <v>82.069873809814453</v>
      </c>
      <c r="M132" s="4">
        <f>1629129327.5123-1629129327.42945</f>
        <v>8.2849979400634766E-2</v>
      </c>
      <c r="N132" s="3">
        <f t="shared" si="78"/>
        <v>82.849979400634766</v>
      </c>
      <c r="S132" s="4">
        <f>1629129655.38484-1629129655.29908</f>
        <v>8.5760116577148438E-2</v>
      </c>
      <c r="T132" s="3">
        <f t="shared" si="79"/>
        <v>85.760116577148438</v>
      </c>
      <c r="V132" s="4">
        <f>1629129655.38374-1629129655.29908</f>
        <v>8.4660053253173828E-2</v>
      </c>
      <c r="W132" s="3">
        <f t="shared" si="80"/>
        <v>84.660053253173828</v>
      </c>
      <c r="Y132" s="4">
        <f>1629129655.38431-1629129655.29908</f>
        <v>8.5230112075805664E-2</v>
      </c>
      <c r="Z132" s="3">
        <f t="shared" si="81"/>
        <v>85.230112075805664</v>
      </c>
      <c r="AB132" s="4">
        <f>1629129655.38465-1629129655.29908</f>
        <v>8.5570096969604492E-2</v>
      </c>
      <c r="AC132" s="3">
        <f t="shared" si="82"/>
        <v>85.570096969604492</v>
      </c>
      <c r="AE132" s="4">
        <f>1629129655.38411-1629129655.29908</f>
        <v>8.5030078887939453E-2</v>
      </c>
      <c r="AF132" s="3">
        <f t="shared" si="83"/>
        <v>85.030078887939453</v>
      </c>
    </row>
    <row r="133" spans="1:32" x14ac:dyDescent="0.3">
      <c r="A133" s="4">
        <f>1629129328.60105-1629129328.51356</f>
        <v>8.7489843368530273E-2</v>
      </c>
      <c r="B133" s="3">
        <f t="shared" si="74"/>
        <v>87.489843368530273</v>
      </c>
      <c r="D133" s="4">
        <f>1629129328.60129-1629129328.51356</f>
        <v>8.7729930877685547E-2</v>
      </c>
      <c r="E133" s="3">
        <f t="shared" si="75"/>
        <v>87.729930877685547</v>
      </c>
      <c r="G133" s="4">
        <f>1629129328.60207-1629129328.51356</f>
        <v>8.8510036468505859E-2</v>
      </c>
      <c r="H133" s="3">
        <f t="shared" si="76"/>
        <v>88.510036468505859</v>
      </c>
      <c r="J133" s="4">
        <f>1629129328.60167-1629129328.51356</f>
        <v>8.8109970092773438E-2</v>
      </c>
      <c r="K133" s="3">
        <f t="shared" si="77"/>
        <v>88.109970092773438</v>
      </c>
      <c r="M133" s="4">
        <f>1629129328.60262-1629129328.51356</f>
        <v>8.9059829711914063E-2</v>
      </c>
      <c r="N133" s="3">
        <f t="shared" si="78"/>
        <v>89.059829711914063</v>
      </c>
      <c r="S133" s="4">
        <f>1629129656.4724-1629129656.3877</f>
        <v>8.4699869155883789E-2</v>
      </c>
      <c r="T133" s="3">
        <f t="shared" si="79"/>
        <v>84.699869155883789</v>
      </c>
      <c r="V133" s="4">
        <f>1629129656.47305-1629129656.3877</f>
        <v>8.535003662109375E-2</v>
      </c>
      <c r="W133" s="3">
        <f t="shared" si="80"/>
        <v>85.35003662109375</v>
      </c>
      <c r="Y133" s="4">
        <f>1629129656.47363-1629129656.3877</f>
        <v>8.592987060546875E-2</v>
      </c>
      <c r="Z133" s="3">
        <f t="shared" si="81"/>
        <v>85.92987060546875</v>
      </c>
      <c r="AB133" s="4">
        <f>1629129656.47352-1629129656.3877</f>
        <v>8.581995964050293E-2</v>
      </c>
      <c r="AC133" s="3">
        <f t="shared" si="82"/>
        <v>85.81995964050293</v>
      </c>
      <c r="AE133" s="4">
        <f>1629129656.47307-1629129656.3877</f>
        <v>8.536982536315918E-2</v>
      </c>
      <c r="AF133" s="3">
        <f t="shared" si="83"/>
        <v>85.36982536315918</v>
      </c>
    </row>
    <row r="134" spans="1:32" x14ac:dyDescent="0.3">
      <c r="A134" s="4">
        <f>1629129329.69084-1629129329.6043</f>
        <v>8.6539983749389648E-2</v>
      </c>
      <c r="B134" s="3">
        <f t="shared" si="74"/>
        <v>86.539983749389648</v>
      </c>
      <c r="D134" s="4">
        <f>1629129329.69092-1629129329.6043</f>
        <v>8.6620092391967773E-2</v>
      </c>
      <c r="E134" s="3">
        <f t="shared" si="75"/>
        <v>86.620092391967773</v>
      </c>
      <c r="G134" s="4">
        <f>1629129329.69138-1629129329.6043</f>
        <v>8.7080001831054688E-2</v>
      </c>
      <c r="H134" s="3">
        <f t="shared" si="76"/>
        <v>87.080001831054688</v>
      </c>
      <c r="J134" s="4">
        <f>1629129329.6912-1629129329.6043</f>
        <v>8.6899995803833008E-2</v>
      </c>
      <c r="K134" s="3">
        <f t="shared" si="77"/>
        <v>86.899995803833008</v>
      </c>
      <c r="M134" s="4">
        <f>1629129329.69185-1629129329.6043</f>
        <v>8.7549924850463867E-2</v>
      </c>
      <c r="N134" s="3">
        <f t="shared" si="78"/>
        <v>87.549924850463867</v>
      </c>
      <c r="S134" s="4">
        <f>1629129657.55788-1629129657.47651</f>
        <v>8.1369876861572266E-2</v>
      </c>
      <c r="T134" s="3">
        <f t="shared" si="79"/>
        <v>81.369876861572266</v>
      </c>
      <c r="V134" s="4">
        <f>1629129657.55851-1629129657.47651</f>
        <v>8.2000017166137695E-2</v>
      </c>
      <c r="W134" s="3">
        <f t="shared" si="80"/>
        <v>82.000017166137695</v>
      </c>
      <c r="Y134" s="4">
        <f>1629129657.55907-1629129657.47651</f>
        <v>8.2560062408447266E-2</v>
      </c>
      <c r="Z134" s="3">
        <f t="shared" si="81"/>
        <v>82.560062408447266</v>
      </c>
      <c r="AB134" s="4">
        <f>1629129657.55901-1629129657.47651</f>
        <v>8.2499980926513672E-2</v>
      </c>
      <c r="AC134" s="3">
        <f t="shared" si="82"/>
        <v>82.499980926513672</v>
      </c>
      <c r="AE134" s="4">
        <f>1629129657.55862-1629129657.47651</f>
        <v>8.2109928131103516E-2</v>
      </c>
      <c r="AF134" s="3">
        <f t="shared" si="83"/>
        <v>82.109928131103516</v>
      </c>
    </row>
    <row r="135" spans="1:32" x14ac:dyDescent="0.3">
      <c r="A135" s="4">
        <f>1629129330.77395-1629129330.69312</f>
        <v>8.0830097198486328E-2</v>
      </c>
      <c r="B135" s="3">
        <f t="shared" si="74"/>
        <v>80.830097198486328</v>
      </c>
      <c r="D135" s="4">
        <f>1629129330.77402-1629129330.69312</f>
        <v>8.0899953842163086E-2</v>
      </c>
      <c r="E135" s="3">
        <f t="shared" si="75"/>
        <v>80.899953842163086</v>
      </c>
      <c r="G135" s="4">
        <f>1629129330.77878-1629129330.69312</f>
        <v>8.5659980773925781E-2</v>
      </c>
      <c r="H135" s="3">
        <f t="shared" si="76"/>
        <v>85.659980773925781</v>
      </c>
      <c r="J135" s="4">
        <f>1629129330.77429-1629129330.69312</f>
        <v>8.1170082092285156E-2</v>
      </c>
      <c r="K135" s="3">
        <f t="shared" si="77"/>
        <v>81.170082092285156</v>
      </c>
      <c r="M135" s="4">
        <f>1629129330.77533-1629129330.69312</f>
        <v>8.2210063934326172E-2</v>
      </c>
      <c r="N135" s="3">
        <f t="shared" si="78"/>
        <v>82.210063934326172</v>
      </c>
      <c r="S135" s="4">
        <f>1629129658.64324-1629129658.5623</f>
        <v>8.0940008163452148E-2</v>
      </c>
      <c r="T135" s="3">
        <f t="shared" si="79"/>
        <v>80.940008163452148</v>
      </c>
      <c r="V135" s="4">
        <f>1629129658.64856-1629129658.5623</f>
        <v>8.6260080337524414E-2</v>
      </c>
      <c r="W135" s="3">
        <f t="shared" si="80"/>
        <v>86.260080337524414</v>
      </c>
      <c r="Y135" s="4">
        <f>1629129658.64847-1629129658.5623</f>
        <v>8.6169958114624023E-2</v>
      </c>
      <c r="Z135" s="3">
        <f t="shared" si="81"/>
        <v>86.169958114624023</v>
      </c>
      <c r="AB135" s="4">
        <f>1629129658.64495-1629129658.5623</f>
        <v>8.2649946212768555E-2</v>
      </c>
      <c r="AC135" s="3">
        <f t="shared" si="82"/>
        <v>82.649946212768555</v>
      </c>
      <c r="AE135" s="4">
        <f>1629129658.64397-1629129658.5623</f>
        <v>8.1670045852661133E-2</v>
      </c>
      <c r="AF135" s="3">
        <f t="shared" si="83"/>
        <v>81.670045852661133</v>
      </c>
    </row>
    <row r="136" spans="1:32" x14ac:dyDescent="0.3">
      <c r="B136" s="2">
        <f>AVERAGE(B126:B135)</f>
        <v>82.86597728729248</v>
      </c>
      <c r="E136" s="2">
        <f>AVERAGE(E126:E135)</f>
        <v>82.971024513244629</v>
      </c>
      <c r="H136" s="2">
        <f>AVERAGE(H126:H135)</f>
        <v>83.945012092590332</v>
      </c>
      <c r="K136" s="2">
        <f>AVERAGE(K126:K135)</f>
        <v>83.237981796264648</v>
      </c>
      <c r="N136" s="2">
        <f>AVERAGE(N126:N135)</f>
        <v>84.010982513427734</v>
      </c>
      <c r="T136" s="2">
        <f>AVERAGE(T126:T135)</f>
        <v>82.813000679016113</v>
      </c>
      <c r="W136" s="2">
        <f>AVERAGE(W126:W135)</f>
        <v>82.974028587341309</v>
      </c>
      <c r="Z136" s="2">
        <f>AVERAGE(Z126:Z135)</f>
        <v>82.977008819580078</v>
      </c>
      <c r="AC136" s="2">
        <f>AVERAGE(AC126:AC135)</f>
        <v>82.894015312194824</v>
      </c>
      <c r="AF136" s="2">
        <f>AVERAGE(AF126:AF135)</f>
        <v>82.589006423950195</v>
      </c>
    </row>
    <row r="138" spans="1:32" x14ac:dyDescent="0.3">
      <c r="A138" s="6" t="s">
        <v>37</v>
      </c>
      <c r="B138" s="6"/>
      <c r="D138" s="6" t="s">
        <v>38</v>
      </c>
      <c r="E138" s="6"/>
      <c r="G138" s="6" t="s">
        <v>39</v>
      </c>
      <c r="H138" s="6"/>
      <c r="J138" s="6" t="s">
        <v>40</v>
      </c>
      <c r="K138" s="6"/>
      <c r="M138" s="6" t="s">
        <v>41</v>
      </c>
      <c r="N138" s="6"/>
      <c r="S138" s="6" t="s">
        <v>37</v>
      </c>
      <c r="T138" s="6"/>
      <c r="V138" s="6" t="s">
        <v>38</v>
      </c>
      <c r="W138" s="6"/>
      <c r="Y138" s="6" t="s">
        <v>39</v>
      </c>
      <c r="Z138" s="6"/>
      <c r="AB138" s="6" t="s">
        <v>40</v>
      </c>
      <c r="AC138" s="6"/>
      <c r="AE138" s="6" t="s">
        <v>41</v>
      </c>
      <c r="AF138" s="6"/>
    </row>
    <row r="139" spans="1:32" ht="45" customHeight="1" x14ac:dyDescent="0.3">
      <c r="A139" s="8" t="s">
        <v>62</v>
      </c>
      <c r="B139" s="8"/>
      <c r="D139" s="8" t="s">
        <v>62</v>
      </c>
      <c r="E139" s="8"/>
      <c r="G139" s="8" t="s">
        <v>62</v>
      </c>
      <c r="H139" s="8"/>
      <c r="J139" s="8" t="s">
        <v>62</v>
      </c>
      <c r="K139" s="8"/>
      <c r="M139" s="8" t="s">
        <v>62</v>
      </c>
      <c r="N139" s="8"/>
      <c r="S139" s="8" t="s">
        <v>63</v>
      </c>
      <c r="T139" s="8"/>
      <c r="V139" s="8" t="s">
        <v>63</v>
      </c>
      <c r="W139" s="8"/>
      <c r="Y139" s="8" t="s">
        <v>63</v>
      </c>
      <c r="Z139" s="8"/>
      <c r="AB139" s="8" t="s">
        <v>63</v>
      </c>
      <c r="AC139" s="8"/>
      <c r="AE139" s="8" t="s">
        <v>63</v>
      </c>
      <c r="AF139" s="8"/>
    </row>
    <row r="140" spans="1:32" x14ac:dyDescent="0.3">
      <c r="A140" s="1" t="s">
        <v>1</v>
      </c>
      <c r="B140" s="1" t="s">
        <v>0</v>
      </c>
      <c r="D140" s="1" t="s">
        <v>1</v>
      </c>
      <c r="E140" s="1" t="s">
        <v>0</v>
      </c>
      <c r="G140" s="1" t="s">
        <v>1</v>
      </c>
      <c r="H140" s="1" t="s">
        <v>0</v>
      </c>
      <c r="J140" s="1" t="s">
        <v>1</v>
      </c>
      <c r="K140" s="1" t="s">
        <v>0</v>
      </c>
      <c r="M140" s="1" t="s">
        <v>1</v>
      </c>
      <c r="N140" s="1" t="s">
        <v>0</v>
      </c>
      <c r="S140" s="1" t="s">
        <v>1</v>
      </c>
      <c r="T140" s="1" t="s">
        <v>0</v>
      </c>
      <c r="V140" s="1" t="s">
        <v>1</v>
      </c>
      <c r="W140" s="1" t="s">
        <v>0</v>
      </c>
      <c r="Y140" s="1" t="s">
        <v>1</v>
      </c>
      <c r="Z140" s="1" t="s">
        <v>0</v>
      </c>
      <c r="AB140" s="1" t="s">
        <v>1</v>
      </c>
      <c r="AC140" s="1" t="s">
        <v>0</v>
      </c>
      <c r="AE140" s="1" t="s">
        <v>1</v>
      </c>
      <c r="AF140" s="1" t="s">
        <v>0</v>
      </c>
    </row>
    <row r="141" spans="1:32" x14ac:dyDescent="0.3">
      <c r="A141" s="4">
        <f>1629129321.00689-1629129320.92265</f>
        <v>8.4239959716796875E-2</v>
      </c>
      <c r="B141" s="3">
        <f>A141*1000</f>
        <v>84.239959716796875</v>
      </c>
      <c r="D141" s="4">
        <f>1629129321.00765-1629129320.92265</f>
        <v>8.4999799728393555E-2</v>
      </c>
      <c r="E141" s="3">
        <f>D141*1000</f>
        <v>84.999799728393555</v>
      </c>
      <c r="G141" s="4">
        <f>1629129321.00714-1629129320.92265</f>
        <v>8.4489822387695313E-2</v>
      </c>
      <c r="H141" s="3">
        <f>G141*1000</f>
        <v>84.489822387695313</v>
      </c>
      <c r="J141" s="4">
        <f>1629129321.00772-1629129320.92265</f>
        <v>8.5069894790649414E-2</v>
      </c>
      <c r="K141" s="3">
        <f>J141*1000</f>
        <v>85.069894790649414</v>
      </c>
      <c r="M141" s="4">
        <f>1629129321.00783-1629129320.92265</f>
        <v>8.5179805755615234E-2</v>
      </c>
      <c r="N141" s="3">
        <f>M141*1000</f>
        <v>85.179805755615234</v>
      </c>
      <c r="S141" s="4">
        <f>1629129648.86712-1629129648.78612</f>
        <v>8.1000089645385742E-2</v>
      </c>
      <c r="T141" s="3">
        <f>S141*1000</f>
        <v>81.000089645385742</v>
      </c>
      <c r="V141" s="4">
        <f>1629129648.86769-1629129648.78612</f>
        <v>8.1570148468017578E-2</v>
      </c>
      <c r="W141" s="3">
        <f>V141*1000</f>
        <v>81.570148468017578</v>
      </c>
      <c r="Y141" s="4">
        <f>1629129648.86801-1629129648.78612</f>
        <v>8.1890106201171875E-2</v>
      </c>
      <c r="Z141" s="3">
        <f>Y141*1000</f>
        <v>81.890106201171875</v>
      </c>
      <c r="AB141" s="4">
        <f>1629129648.86822-1629129648.78612</f>
        <v>8.2100152969360352E-2</v>
      </c>
      <c r="AC141" s="3">
        <f>AB141*1000</f>
        <v>82.100152969360352</v>
      </c>
      <c r="AE141" s="4">
        <f>1629129648.86741-1629129648.78612</f>
        <v>8.1290006637573242E-2</v>
      </c>
      <c r="AF141" s="3">
        <f>AE141*1000</f>
        <v>81.290006637573242</v>
      </c>
    </row>
    <row r="142" spans="1:32" x14ac:dyDescent="0.3">
      <c r="A142" s="4">
        <f>1629129322.09382-1629129322.00981</f>
        <v>8.4010124206542969E-2</v>
      </c>
      <c r="B142" s="3">
        <f t="shared" ref="B142:B150" si="84">A142*1000</f>
        <v>84.010124206542969</v>
      </c>
      <c r="D142" s="4">
        <f>1629129322.09435-1629129322.00981</f>
        <v>8.4540128707885742E-2</v>
      </c>
      <c r="E142" s="3">
        <f t="shared" ref="E142:E150" si="85">D142*1000</f>
        <v>84.540128707885742</v>
      </c>
      <c r="G142" s="4">
        <f>1629129322.09413-1629129322.00981</f>
        <v>8.4320068359375E-2</v>
      </c>
      <c r="H142" s="3">
        <f t="shared" ref="H142:H150" si="86">G142*1000</f>
        <v>84.320068359375</v>
      </c>
      <c r="J142" s="4">
        <f>1629129322.09467-1629129322.00981</f>
        <v>8.4860086441040039E-2</v>
      </c>
      <c r="K142" s="3">
        <f t="shared" ref="K142:K150" si="87">J142*1000</f>
        <v>84.860086441040039</v>
      </c>
      <c r="M142" s="4">
        <f>1629129322.09503-1629129322.00981</f>
        <v>8.5220098495483398E-2</v>
      </c>
      <c r="N142" s="3">
        <f t="shared" ref="N142:N150" si="88">M142*1000</f>
        <v>85.220098495483398</v>
      </c>
      <c r="S142" s="4">
        <f>1629129649.95193-1629129649.87083</f>
        <v>8.1099987030029297E-2</v>
      </c>
      <c r="T142" s="3">
        <f t="shared" ref="T142:T150" si="89">S142*1000</f>
        <v>81.099987030029297</v>
      </c>
      <c r="V142" s="4">
        <f>1629129649.95254-1629129649.87083</f>
        <v>8.1709861755371094E-2</v>
      </c>
      <c r="W142" s="3">
        <f t="shared" ref="W142:W150" si="90">V142*1000</f>
        <v>81.709861755371094</v>
      </c>
      <c r="Y142" s="4">
        <f>1629129649.95258-1629129649.87083</f>
        <v>8.1749916076660156E-2</v>
      </c>
      <c r="Z142" s="3">
        <f t="shared" ref="Z142:Z150" si="91">Y142*1000</f>
        <v>81.749916076660156</v>
      </c>
      <c r="AB142" s="4">
        <f>1629129649.95329-1629129649.87083</f>
        <v>8.2459926605224609E-2</v>
      </c>
      <c r="AC142" s="3">
        <f t="shared" ref="AC142:AC150" si="92">AB142*1000</f>
        <v>82.459926605224609</v>
      </c>
      <c r="AE142" s="4">
        <f>1629129649.9523-1629129649.87083</f>
        <v>8.1470012664794922E-2</v>
      </c>
      <c r="AF142" s="3">
        <f t="shared" ref="AF142:AF150" si="93">AE142*1000</f>
        <v>81.470012664794922</v>
      </c>
    </row>
    <row r="143" spans="1:32" x14ac:dyDescent="0.3">
      <c r="A143" s="4">
        <f>1629129323.173-1629129323.09614</f>
        <v>7.6860189437866211E-2</v>
      </c>
      <c r="B143" s="3">
        <f t="shared" si="84"/>
        <v>76.860189437866211</v>
      </c>
      <c r="D143" s="4">
        <f>1629129323.17349-1629129323.09614</f>
        <v>7.7350139617919922E-2</v>
      </c>
      <c r="E143" s="3">
        <f t="shared" si="85"/>
        <v>77.350139617919922</v>
      </c>
      <c r="G143" s="4">
        <f>1629129323.17339-1629129323.09614</f>
        <v>7.7250003814697266E-2</v>
      </c>
      <c r="H143" s="3">
        <f t="shared" si="86"/>
        <v>77.250003814697266</v>
      </c>
      <c r="J143" s="4">
        <f>1629129323.17444-1629129323.09614</f>
        <v>7.8299999237060547E-2</v>
      </c>
      <c r="K143" s="3">
        <f t="shared" si="87"/>
        <v>78.299999237060547</v>
      </c>
      <c r="M143" s="4">
        <f>1629129323.17402-1629129323.09614</f>
        <v>7.7880144119262695E-2</v>
      </c>
      <c r="N143" s="3">
        <f t="shared" si="88"/>
        <v>77.880144119262695</v>
      </c>
      <c r="S143" s="4">
        <f>1629129651.03867-1629129650.95537</f>
        <v>8.3300113677978516E-2</v>
      </c>
      <c r="T143" s="3">
        <f t="shared" si="89"/>
        <v>83.300113677978516</v>
      </c>
      <c r="V143" s="4">
        <f>1629129651.03922-1629129650.95537</f>
        <v>8.385014533996582E-2</v>
      </c>
      <c r="W143" s="3">
        <f t="shared" si="90"/>
        <v>83.85014533996582</v>
      </c>
      <c r="Y143" s="4">
        <f>1629129651.0394-1629129650.95537</f>
        <v>8.40301513671875E-2</v>
      </c>
      <c r="Z143" s="3">
        <f t="shared" si="91"/>
        <v>84.0301513671875</v>
      </c>
      <c r="AB143" s="4">
        <f>1629129651.04-1629129650.95537</f>
        <v>8.4630012512207031E-2</v>
      </c>
      <c r="AC143" s="3">
        <f t="shared" si="92"/>
        <v>84.630012512207031</v>
      </c>
      <c r="AE143" s="4">
        <f>1629129651.03896-1629129650.95537</f>
        <v>8.3590030670166016E-2</v>
      </c>
      <c r="AF143" s="3">
        <f t="shared" si="93"/>
        <v>83.590030670166016</v>
      </c>
    </row>
    <row r="144" spans="1:32" x14ac:dyDescent="0.3">
      <c r="A144" s="4">
        <f>1629129324.25953-1629129324.17571</f>
        <v>8.3820104598999023E-2</v>
      </c>
      <c r="B144" s="3">
        <f t="shared" si="84"/>
        <v>83.820104598999023</v>
      </c>
      <c r="D144" s="4">
        <f>1629129324.2601-1629129324.17571</f>
        <v>8.4389925003051758E-2</v>
      </c>
      <c r="E144" s="3">
        <f t="shared" si="85"/>
        <v>84.389925003051758</v>
      </c>
      <c r="G144" s="4">
        <f>1629129324.25988-1629129324.17571</f>
        <v>8.4170103073120117E-2</v>
      </c>
      <c r="H144" s="3">
        <f t="shared" si="86"/>
        <v>84.170103073120117</v>
      </c>
      <c r="J144" s="4">
        <f>1629129324.26078-1629129324.17571</f>
        <v>8.5070133209228516E-2</v>
      </c>
      <c r="K144" s="3">
        <f t="shared" si="87"/>
        <v>85.070133209228516</v>
      </c>
      <c r="M144" s="4">
        <f>1629129324.26044-1629129324.17571</f>
        <v>8.4730148315429688E-2</v>
      </c>
      <c r="N144" s="3">
        <f t="shared" si="88"/>
        <v>84.730148315429688</v>
      </c>
      <c r="S144" s="4">
        <f>1629129652.12488-1629129652.04216</f>
        <v>8.2720041275024414E-2</v>
      </c>
      <c r="T144" s="3">
        <f t="shared" si="89"/>
        <v>82.720041275024414</v>
      </c>
      <c r="V144" s="4">
        <f>1629129652.1254-1629129652.04216</f>
        <v>8.3240032196044922E-2</v>
      </c>
      <c r="W144" s="3">
        <f t="shared" si="90"/>
        <v>83.240032196044922</v>
      </c>
      <c r="Y144" s="4">
        <f>1629129652.12553-1629129652.04216</f>
        <v>8.3369970321655273E-2</v>
      </c>
      <c r="Z144" s="3">
        <f t="shared" si="91"/>
        <v>83.369970321655273</v>
      </c>
      <c r="AB144" s="4">
        <f>1629129652.12638-1629129652.04216</f>
        <v>8.4219932556152344E-2</v>
      </c>
      <c r="AC144" s="3">
        <f t="shared" si="92"/>
        <v>84.219932556152344</v>
      </c>
      <c r="AE144" s="4">
        <f>1629129652.12523-1629129652.04216</f>
        <v>8.3070039749145508E-2</v>
      </c>
      <c r="AF144" s="3">
        <f t="shared" si="93"/>
        <v>83.070039749145508</v>
      </c>
    </row>
    <row r="145" spans="1:32" x14ac:dyDescent="0.3">
      <c r="A145" s="4">
        <f>1629129325.3466-1629129325.26184</f>
        <v>8.4759950637817383E-2</v>
      </c>
      <c r="B145" s="3">
        <f t="shared" si="84"/>
        <v>84.759950637817383</v>
      </c>
      <c r="D145" s="4">
        <f>1629129325.34712-1629129325.26184</f>
        <v>8.5279941558837891E-2</v>
      </c>
      <c r="E145" s="3">
        <f t="shared" si="85"/>
        <v>85.279941558837891</v>
      </c>
      <c r="G145" s="4">
        <f>1629129325.34694-1629129325.26184</f>
        <v>8.5099935531616211E-2</v>
      </c>
      <c r="H145" s="3">
        <f t="shared" si="86"/>
        <v>85.099935531616211</v>
      </c>
      <c r="J145" s="4">
        <f>1629129325.34785-1629129325.26184</f>
        <v>8.6009979248046875E-2</v>
      </c>
      <c r="K145" s="3">
        <f t="shared" si="87"/>
        <v>86.009979248046875</v>
      </c>
      <c r="M145" s="4">
        <f>1629129325.34745-1629129325.26184</f>
        <v>8.5609912872314453E-2</v>
      </c>
      <c r="N145" s="3">
        <f t="shared" si="88"/>
        <v>85.609912872314453</v>
      </c>
      <c r="S145" s="4">
        <f>1629129653.21046-1629129653.12829</f>
        <v>8.2170009613037109E-2</v>
      </c>
      <c r="T145" s="3">
        <f t="shared" si="89"/>
        <v>82.170009613037109</v>
      </c>
      <c r="V145" s="4">
        <f>1629129653.21098-1629129653.12829</f>
        <v>8.2690000534057617E-2</v>
      </c>
      <c r="W145" s="3">
        <f t="shared" si="90"/>
        <v>82.690000534057617</v>
      </c>
      <c r="Y145" s="4">
        <f>1629129653.21117-1629129653.12829</f>
        <v>8.2880020141601563E-2</v>
      </c>
      <c r="Z145" s="3">
        <f t="shared" si="91"/>
        <v>82.880020141601563</v>
      </c>
      <c r="AB145" s="4">
        <f>1629129653.21186-1629129653.12829</f>
        <v>8.3570003509521484E-2</v>
      </c>
      <c r="AC145" s="3">
        <f t="shared" si="92"/>
        <v>83.570003509521484</v>
      </c>
      <c r="AE145" s="4">
        <f>1629129653.21082-1629129653.12829</f>
        <v>8.2530021667480469E-2</v>
      </c>
      <c r="AF145" s="3">
        <f t="shared" si="93"/>
        <v>82.530021667480469</v>
      </c>
    </row>
    <row r="146" spans="1:32" x14ac:dyDescent="0.3">
      <c r="A146" s="4">
        <f>1629129326.42656-1629129326.34846</f>
        <v>7.8099966049194336E-2</v>
      </c>
      <c r="B146" s="3">
        <f t="shared" si="84"/>
        <v>78.099966049194336</v>
      </c>
      <c r="D146" s="4">
        <f>1629129326.42712-1629129326.34846</f>
        <v>7.8660011291503906E-2</v>
      </c>
      <c r="E146" s="3">
        <f t="shared" si="85"/>
        <v>78.660011291503906</v>
      </c>
      <c r="G146" s="4">
        <f>1629129326.42682-1629129326.34846</f>
        <v>7.8360080718994141E-2</v>
      </c>
      <c r="H146" s="3">
        <f t="shared" si="86"/>
        <v>78.360080718994141</v>
      </c>
      <c r="J146" s="4">
        <f>1629129326.42812-1629129326.34846</f>
        <v>7.9659938812255859E-2</v>
      </c>
      <c r="K146" s="3">
        <f t="shared" si="87"/>
        <v>79.659938812255859</v>
      </c>
      <c r="M146" s="4">
        <f>1629129326.42747-1629129326.34846</f>
        <v>7.9010009765625E-2</v>
      </c>
      <c r="N146" s="3">
        <f t="shared" si="88"/>
        <v>79.010009765625</v>
      </c>
      <c r="S146" s="4">
        <f>1629129654.29541-1629129654.21416</f>
        <v>8.124995231628418E-2</v>
      </c>
      <c r="T146" s="3">
        <f t="shared" si="89"/>
        <v>81.24995231628418</v>
      </c>
      <c r="V146" s="4">
        <f>1629129654.29568-1629129654.21416</f>
        <v>8.152008056640625E-2</v>
      </c>
      <c r="W146" s="3">
        <f t="shared" si="90"/>
        <v>81.52008056640625</v>
      </c>
      <c r="Y146" s="4">
        <f>1629129654.29608-1629129654.21416</f>
        <v>8.1920146942138672E-2</v>
      </c>
      <c r="Z146" s="3">
        <f t="shared" si="91"/>
        <v>81.920146942138672</v>
      </c>
      <c r="AB146" s="4">
        <f>1629129654.29681-1629129654.21416</f>
        <v>8.2649946212768555E-2</v>
      </c>
      <c r="AC146" s="3">
        <f t="shared" si="92"/>
        <v>82.649946212768555</v>
      </c>
      <c r="AE146" s="4">
        <f>1629129654.29562-1629129654.21416</f>
        <v>8.1459999084472656E-2</v>
      </c>
      <c r="AF146" s="3">
        <f t="shared" si="93"/>
        <v>81.459999084472656</v>
      </c>
    </row>
    <row r="147" spans="1:32" x14ac:dyDescent="0.3">
      <c r="A147" s="4">
        <f>1629129327.51116-1629129327.42945</f>
        <v>8.1709861755371094E-2</v>
      </c>
      <c r="B147" s="3">
        <f t="shared" si="84"/>
        <v>81.709861755371094</v>
      </c>
      <c r="D147" s="4">
        <f>1629129327.51186-1629129327.42945</f>
        <v>8.2409858703613281E-2</v>
      </c>
      <c r="E147" s="3">
        <f t="shared" si="85"/>
        <v>82.409858703613281</v>
      </c>
      <c r="G147" s="4">
        <f>1629129327.51137-1629129327.42945</f>
        <v>8.191990852355957E-2</v>
      </c>
      <c r="H147" s="3">
        <f t="shared" si="86"/>
        <v>81.91990852355957</v>
      </c>
      <c r="J147" s="4">
        <f>1629129327.51242-1629129327.42945</f>
        <v>8.2969903945922852E-2</v>
      </c>
      <c r="K147" s="3">
        <f t="shared" si="87"/>
        <v>82.969903945922852</v>
      </c>
      <c r="M147" s="4">
        <f>1629129327.5119-1629129327.42945</f>
        <v>8.2449913024902344E-2</v>
      </c>
      <c r="N147" s="3">
        <f t="shared" si="88"/>
        <v>82.449913024902344</v>
      </c>
      <c r="S147" s="4">
        <f>1629129655.38405-1629129655.29908</f>
        <v>8.4969997406005859E-2</v>
      </c>
      <c r="T147" s="3">
        <f t="shared" si="89"/>
        <v>84.969997406005859</v>
      </c>
      <c r="V147" s="4">
        <f>1629129655.38456-1629129655.29908</f>
        <v>8.5480213165283203E-2</v>
      </c>
      <c r="W147" s="3">
        <f t="shared" si="90"/>
        <v>85.480213165283203</v>
      </c>
      <c r="Y147" s="4">
        <f>1629129655.38473-1629129655.29908</f>
        <v>8.5650205612182617E-2</v>
      </c>
      <c r="Z147" s="3">
        <f t="shared" si="91"/>
        <v>85.650205612182617</v>
      </c>
      <c r="AB147" s="4">
        <f>1629129655.38506-1629129655.29908</f>
        <v>8.598017692565918E-2</v>
      </c>
      <c r="AC147" s="3">
        <f t="shared" si="92"/>
        <v>85.98017692565918</v>
      </c>
      <c r="AE147" s="4">
        <f>1629129655.38439-1629129655.29908</f>
        <v>8.5310220718383789E-2</v>
      </c>
      <c r="AF147" s="3">
        <f t="shared" si="93"/>
        <v>85.310220718383789</v>
      </c>
    </row>
    <row r="148" spans="1:32" x14ac:dyDescent="0.3">
      <c r="A148" s="4">
        <f>1629129328.60173-1629129328.51356</f>
        <v>8.8170051574707031E-2</v>
      </c>
      <c r="B148" s="3">
        <f t="shared" si="84"/>
        <v>88.170051574707031</v>
      </c>
      <c r="D148" s="4">
        <f>1629129328.60231-1629129328.51356</f>
        <v>8.8749885559082031E-2</v>
      </c>
      <c r="E148" s="3">
        <f t="shared" si="85"/>
        <v>88.749885559082031</v>
      </c>
      <c r="G148" s="4">
        <f>1629129328.60202-1629129328.51356</f>
        <v>8.8459968566894531E-2</v>
      </c>
      <c r="H148" s="3">
        <f t="shared" si="86"/>
        <v>88.459968566894531</v>
      </c>
      <c r="J148" s="4">
        <f>1629129328.60291-1629129328.51356</f>
        <v>8.9349985122680664E-2</v>
      </c>
      <c r="K148" s="3">
        <f t="shared" si="87"/>
        <v>89.349985122680664</v>
      </c>
      <c r="M148" s="4">
        <f>1629129328.60249-1629129328.51356</f>
        <v>8.8929891586303711E-2</v>
      </c>
      <c r="N148" s="3">
        <f t="shared" si="88"/>
        <v>88.929891586303711</v>
      </c>
      <c r="S148" s="4">
        <f>1629129656.47316-1629129656.3877</f>
        <v>8.545994758605957E-2</v>
      </c>
      <c r="T148" s="3">
        <f t="shared" si="89"/>
        <v>85.45994758605957</v>
      </c>
      <c r="V148" s="4">
        <f>1629129656.47343-1629129656.3877</f>
        <v>8.5729837417602539E-2</v>
      </c>
      <c r="W148" s="3">
        <f t="shared" si="90"/>
        <v>85.729837417602539</v>
      </c>
      <c r="Y148" s="4">
        <f>1629129656.47395-1629129656.3877</f>
        <v>8.6249828338623047E-2</v>
      </c>
      <c r="Z148" s="3">
        <f t="shared" si="91"/>
        <v>86.249828338623047</v>
      </c>
      <c r="AB148" s="4">
        <f>1629129656.4739-1629129656.3877</f>
        <v>8.619999885559082E-2</v>
      </c>
      <c r="AC148" s="3">
        <f t="shared" si="92"/>
        <v>86.19999885559082</v>
      </c>
      <c r="AE148" s="4">
        <f>1629129656.47331-1629129656.3877</f>
        <v>8.5609912872314453E-2</v>
      </c>
      <c r="AF148" s="3">
        <f t="shared" si="93"/>
        <v>85.609912872314453</v>
      </c>
    </row>
    <row r="149" spans="1:32" x14ac:dyDescent="0.3">
      <c r="A149" s="4">
        <f>1629129329.69068-1629129329.6043</f>
        <v>8.63800048828125E-2</v>
      </c>
      <c r="B149" s="3">
        <f t="shared" si="84"/>
        <v>86.3800048828125</v>
      </c>
      <c r="D149" s="4">
        <f>1629129329.69124-1629129329.6043</f>
        <v>8.694005012512207E-2</v>
      </c>
      <c r="E149" s="3">
        <f t="shared" si="85"/>
        <v>86.94005012512207</v>
      </c>
      <c r="G149" s="4">
        <f>1629129329.69105-1629129329.6043</f>
        <v>8.6750030517578125E-2</v>
      </c>
      <c r="H149" s="3">
        <f t="shared" si="86"/>
        <v>86.750030517578125</v>
      </c>
      <c r="J149" s="4">
        <f>1629129329.69194-1629129329.6043</f>
        <v>8.7640047073364258E-2</v>
      </c>
      <c r="K149" s="3">
        <f t="shared" si="87"/>
        <v>87.640047073364258</v>
      </c>
      <c r="M149" s="4">
        <f>1629129329.69156-1629129329.6043</f>
        <v>8.7260007858276367E-2</v>
      </c>
      <c r="N149" s="3">
        <f t="shared" si="88"/>
        <v>87.260007858276367</v>
      </c>
      <c r="S149" s="4">
        <f>1629129657.55857-1629129657.47651</f>
        <v>8.2059860229492188E-2</v>
      </c>
      <c r="T149" s="3">
        <f t="shared" si="89"/>
        <v>82.059860229492188</v>
      </c>
      <c r="V149" s="4">
        <f>1629129657.5592-1629129657.47651</f>
        <v>8.2690000534057617E-2</v>
      </c>
      <c r="W149" s="3">
        <f t="shared" si="90"/>
        <v>82.690000534057617</v>
      </c>
      <c r="Y149" s="4">
        <f>1629129657.55922-1629129657.47651</f>
        <v>8.2710027694702148E-2</v>
      </c>
      <c r="Z149" s="3">
        <f t="shared" si="91"/>
        <v>82.710027694702148</v>
      </c>
      <c r="AB149" s="4">
        <f>1629129657.55992-1629129657.47651</f>
        <v>8.3410024642944336E-2</v>
      </c>
      <c r="AC149" s="3">
        <f t="shared" si="92"/>
        <v>83.410024642944336</v>
      </c>
      <c r="AE149" s="4">
        <f>1629129657.55884-1629129657.47651</f>
        <v>8.2329988479614258E-2</v>
      </c>
      <c r="AF149" s="3">
        <f t="shared" si="93"/>
        <v>82.329988479614258</v>
      </c>
    </row>
    <row r="150" spans="1:32" x14ac:dyDescent="0.3">
      <c r="A150" s="4">
        <f>1629129330.7739-1629129330.69312</f>
        <v>8.0780029296875E-2</v>
      </c>
      <c r="B150" s="3">
        <f t="shared" si="84"/>
        <v>80.780029296875</v>
      </c>
      <c r="D150" s="4">
        <f>1629129330.77675-1629129330.69312</f>
        <v>8.3630084991455078E-2</v>
      </c>
      <c r="E150" s="3">
        <f t="shared" si="85"/>
        <v>83.630084991455078</v>
      </c>
      <c r="G150" s="4">
        <f>1629129330.77414-1629129330.69312</f>
        <v>8.1019878387451172E-2</v>
      </c>
      <c r="H150" s="3">
        <f t="shared" si="86"/>
        <v>81.019878387451172</v>
      </c>
      <c r="J150" s="4">
        <f>1629129330.77542-1629129330.69312</f>
        <v>8.2299947738647461E-2</v>
      </c>
      <c r="K150" s="3">
        <f t="shared" si="87"/>
        <v>82.299947738647461</v>
      </c>
      <c r="M150" s="4">
        <f>1629129330.77667-1629129330.69312</f>
        <v>8.3549976348876953E-2</v>
      </c>
      <c r="N150" s="3">
        <f t="shared" si="88"/>
        <v>83.549976348876953</v>
      </c>
      <c r="S150" s="4">
        <f>1629129658.64405-1629129658.5623</f>
        <v>8.1749916076660156E-2</v>
      </c>
      <c r="T150" s="3">
        <f t="shared" si="89"/>
        <v>81.749916076660156</v>
      </c>
      <c r="V150" s="4">
        <f>1629129658.64451-1629129658.5623</f>
        <v>8.2210063934326172E-2</v>
      </c>
      <c r="W150" s="3">
        <f t="shared" si="90"/>
        <v>82.210063934326172</v>
      </c>
      <c r="Y150" s="4">
        <f>1629129658.64969-1629129658.5623</f>
        <v>8.7389945983886719E-2</v>
      </c>
      <c r="Z150" s="3">
        <f t="shared" si="91"/>
        <v>87.389945983886719</v>
      </c>
      <c r="AB150" s="4">
        <f>1629129658.64592-1629129658.5623</f>
        <v>8.3620071411132813E-2</v>
      </c>
      <c r="AC150" s="3">
        <f t="shared" si="92"/>
        <v>83.620071411132813</v>
      </c>
      <c r="AE150" s="4">
        <f>1629129658.64428-1629129658.5623</f>
        <v>8.1979990005493164E-2</v>
      </c>
      <c r="AF150" s="3">
        <f t="shared" si="93"/>
        <v>81.979990005493164</v>
      </c>
    </row>
    <row r="151" spans="1:32" x14ac:dyDescent="0.3">
      <c r="B151" s="2">
        <f>AVERAGE(B141:B150)</f>
        <v>82.883024215698242</v>
      </c>
      <c r="E151" s="2">
        <f>AVERAGE(E141:E150)</f>
        <v>83.694982528686523</v>
      </c>
      <c r="H151" s="2">
        <f>AVERAGE(H141:H150)</f>
        <v>83.183979988098145</v>
      </c>
      <c r="K151" s="2">
        <f>AVERAGE(K141:K150)</f>
        <v>84.122991561889648</v>
      </c>
      <c r="N151" s="2">
        <f>AVERAGE(N141:N150)</f>
        <v>83.981990814208984</v>
      </c>
      <c r="T151" s="2">
        <f>AVERAGE(T141:T150)</f>
        <v>82.577991485595703</v>
      </c>
      <c r="W151" s="2">
        <f>AVERAGE(W141:W150)</f>
        <v>83.069038391113281</v>
      </c>
      <c r="Z151" s="2">
        <f>AVERAGE(Z141:Z150)</f>
        <v>83.784031867980957</v>
      </c>
      <c r="AC151" s="2">
        <f>AVERAGE(AC141:AC150)</f>
        <v>83.884024620056152</v>
      </c>
      <c r="AF151" s="2">
        <f>AVERAGE(AF141:AF150)</f>
        <v>82.864022254943848</v>
      </c>
    </row>
    <row r="153" spans="1:32" x14ac:dyDescent="0.3">
      <c r="A153" s="6" t="s">
        <v>32</v>
      </c>
      <c r="B153" s="6"/>
      <c r="D153" s="6" t="s">
        <v>33</v>
      </c>
      <c r="E153" s="6"/>
      <c r="G153" s="6" t="s">
        <v>34</v>
      </c>
      <c r="H153" s="6"/>
      <c r="J153" s="6" t="s">
        <v>35</v>
      </c>
      <c r="K153" s="6"/>
      <c r="M153" s="6" t="s">
        <v>36</v>
      </c>
      <c r="N153" s="6"/>
      <c r="S153" s="6" t="s">
        <v>32</v>
      </c>
      <c r="T153" s="6"/>
      <c r="V153" s="6" t="s">
        <v>33</v>
      </c>
      <c r="W153" s="6"/>
      <c r="Y153" s="6" t="s">
        <v>34</v>
      </c>
      <c r="Z153" s="6"/>
      <c r="AB153" s="6" t="s">
        <v>35</v>
      </c>
      <c r="AC153" s="6"/>
      <c r="AE153" s="6" t="s">
        <v>36</v>
      </c>
      <c r="AF153" s="6"/>
    </row>
    <row r="154" spans="1:32" ht="45" customHeight="1" x14ac:dyDescent="0.3">
      <c r="A154" s="8" t="s">
        <v>62</v>
      </c>
      <c r="B154" s="8"/>
      <c r="D154" s="8" t="s">
        <v>62</v>
      </c>
      <c r="E154" s="8"/>
      <c r="G154" s="8" t="s">
        <v>62</v>
      </c>
      <c r="H154" s="8"/>
      <c r="J154" s="8" t="s">
        <v>62</v>
      </c>
      <c r="K154" s="8"/>
      <c r="M154" s="8" t="s">
        <v>62</v>
      </c>
      <c r="N154" s="8"/>
      <c r="S154" s="8" t="s">
        <v>63</v>
      </c>
      <c r="T154" s="8"/>
      <c r="V154" s="8" t="s">
        <v>63</v>
      </c>
      <c r="W154" s="8"/>
      <c r="Y154" s="8" t="s">
        <v>63</v>
      </c>
      <c r="Z154" s="8"/>
      <c r="AB154" s="8" t="s">
        <v>63</v>
      </c>
      <c r="AC154" s="8"/>
      <c r="AE154" s="8" t="s">
        <v>63</v>
      </c>
      <c r="AF154" s="8"/>
    </row>
    <row r="155" spans="1:32" x14ac:dyDescent="0.3">
      <c r="A155" s="1" t="s">
        <v>1</v>
      </c>
      <c r="B155" s="1" t="s">
        <v>0</v>
      </c>
      <c r="D155" s="1" t="s">
        <v>1</v>
      </c>
      <c r="E155" s="1" t="s">
        <v>0</v>
      </c>
      <c r="G155" s="1" t="s">
        <v>1</v>
      </c>
      <c r="H155" s="1" t="s">
        <v>0</v>
      </c>
      <c r="J155" s="1" t="s">
        <v>1</v>
      </c>
      <c r="K155" s="1" t="s">
        <v>0</v>
      </c>
      <c r="M155" s="1" t="s">
        <v>1</v>
      </c>
      <c r="N155" s="1" t="s">
        <v>0</v>
      </c>
      <c r="S155" s="1" t="s">
        <v>1</v>
      </c>
      <c r="T155" s="1" t="s">
        <v>0</v>
      </c>
      <c r="V155" s="1" t="s">
        <v>1</v>
      </c>
      <c r="W155" s="1" t="s">
        <v>0</v>
      </c>
      <c r="Y155" s="1" t="s">
        <v>1</v>
      </c>
      <c r="Z155" s="1" t="s">
        <v>0</v>
      </c>
      <c r="AB155" s="1" t="s">
        <v>1</v>
      </c>
      <c r="AC155" s="1" t="s">
        <v>0</v>
      </c>
      <c r="AE155" s="1" t="s">
        <v>1</v>
      </c>
      <c r="AF155" s="1" t="s">
        <v>0</v>
      </c>
    </row>
    <row r="156" spans="1:32" x14ac:dyDescent="0.3">
      <c r="A156" s="4">
        <f>1629129321.00748-1629129320.92265</f>
        <v>8.4829807281494141E-2</v>
      </c>
      <c r="B156" s="3">
        <f>A156*1000</f>
        <v>84.829807281494141</v>
      </c>
      <c r="D156" s="4">
        <f>1629129321.00818-1629129320.92265</f>
        <v>8.5529804229736328E-2</v>
      </c>
      <c r="E156" s="3">
        <f>D156*1000</f>
        <v>85.529804229736328</v>
      </c>
      <c r="G156" s="4">
        <f>1629129321.00835-1629129320.92265</f>
        <v>8.5699796676635742E-2</v>
      </c>
      <c r="H156" s="3">
        <f>G156*1000</f>
        <v>85.699796676635742</v>
      </c>
      <c r="J156" s="4">
        <f>1629129321.00799-1629129320.92265</f>
        <v>8.5339784622192383E-2</v>
      </c>
      <c r="K156" s="3">
        <f>J156*1000</f>
        <v>85.339784622192383</v>
      </c>
      <c r="M156" s="4">
        <f>1629129321.00812-1629129320.92265</f>
        <v>8.5469961166381836E-2</v>
      </c>
      <c r="N156" s="3">
        <f>M156*1000</f>
        <v>85.469961166381836</v>
      </c>
      <c r="S156" s="4">
        <f>1629129648.86766-1629129648.78612</f>
        <v>8.1540107727050781E-2</v>
      </c>
      <c r="T156" s="3">
        <f>S156*1000</f>
        <v>81.540107727050781</v>
      </c>
      <c r="V156" s="4">
        <f>1629129648.86842-1629129648.78612</f>
        <v>8.2299947738647461E-2</v>
      </c>
      <c r="W156" s="3">
        <f>V156*1000</f>
        <v>82.299947738647461</v>
      </c>
      <c r="Y156" s="4">
        <f>1629129648.86798-1629129648.78612</f>
        <v>8.1860065460205078E-2</v>
      </c>
      <c r="Z156" s="3">
        <f>Y156*1000</f>
        <v>81.860065460205078</v>
      </c>
      <c r="AB156" s="4">
        <f>1629129648.86862-1629129648.78612</f>
        <v>8.2499980926513672E-2</v>
      </c>
      <c r="AC156" s="3">
        <f>AB156*1000</f>
        <v>82.499980926513672</v>
      </c>
      <c r="AE156" s="4">
        <f>1629129648.86811-1629129648.78612</f>
        <v>8.199000358581543E-2</v>
      </c>
      <c r="AF156" s="3">
        <f>AE156*1000</f>
        <v>81.99000358581543</v>
      </c>
    </row>
    <row r="157" spans="1:32" x14ac:dyDescent="0.3">
      <c r="A157" s="4">
        <f>1629129322.09437-1629129322.00981</f>
        <v>8.4559917449951172E-2</v>
      </c>
      <c r="B157" s="3">
        <f t="shared" ref="B157:B165" si="94">A157*1000</f>
        <v>84.559917449951172</v>
      </c>
      <c r="D157" s="4">
        <f>1629129322.09483-1629129322.00981</f>
        <v>8.5020065307617188E-2</v>
      </c>
      <c r="E157" s="3">
        <f t="shared" ref="E157:E165" si="95">D157*1000</f>
        <v>85.020065307617188</v>
      </c>
      <c r="G157" s="4">
        <f>1629129322.09543-1629129322.00981</f>
        <v>8.5619926452636719E-2</v>
      </c>
      <c r="H157" s="3">
        <f t="shared" ref="H157:H165" si="96">G157*1000</f>
        <v>85.619926452636719</v>
      </c>
      <c r="J157" s="4">
        <f>1629129322.09489-1629129322.00981</f>
        <v>8.5080146789550781E-2</v>
      </c>
      <c r="K157" s="3">
        <f t="shared" ref="K157:K165" si="97">J157*1000</f>
        <v>85.080146789550781</v>
      </c>
      <c r="M157" s="4">
        <f>1629129322.09505-1629129322.00981</f>
        <v>8.524012565612793E-2</v>
      </c>
      <c r="N157" s="3">
        <f t="shared" ref="N157:N165" si="98">M157*1000</f>
        <v>85.24012565612793</v>
      </c>
      <c r="S157" s="4">
        <f>1629129649.95249-1629129649.87083</f>
        <v>8.1660032272338867E-2</v>
      </c>
      <c r="T157" s="3">
        <f t="shared" ref="T157:T165" si="99">S157*1000</f>
        <v>81.660032272338867</v>
      </c>
      <c r="V157" s="4">
        <f>1629129649.95307-1629129649.87083</f>
        <v>8.2239866256713867E-2</v>
      </c>
      <c r="W157" s="3">
        <f t="shared" ref="W157:W165" si="100">V157*1000</f>
        <v>82.239866256713867</v>
      </c>
      <c r="Y157" s="4">
        <f>1629129649.95278-1629129649.87083</f>
        <v>8.1949949264526367E-2</v>
      </c>
      <c r="Z157" s="3">
        <f t="shared" ref="Z157:Z165" si="101">Y157*1000</f>
        <v>81.949949264526367</v>
      </c>
      <c r="AB157" s="4">
        <f>1629129649.95358-1629129649.87083</f>
        <v>8.2749843597412109E-2</v>
      </c>
      <c r="AC157" s="3">
        <f t="shared" ref="AC157:AC165" si="102">AB157*1000</f>
        <v>82.749843597412109</v>
      </c>
      <c r="AE157" s="4">
        <f>1629129649.9529-1629129649.87083</f>
        <v>8.2069873809814453E-2</v>
      </c>
      <c r="AF157" s="3">
        <f t="shared" ref="AF157:AF165" si="103">AE157*1000</f>
        <v>82.069873809814453</v>
      </c>
    </row>
    <row r="158" spans="1:32" x14ac:dyDescent="0.3">
      <c r="A158" s="4">
        <f>1629129323.1737-1629129323.09614</f>
        <v>7.7560186386108398E-2</v>
      </c>
      <c r="B158" s="3">
        <f t="shared" si="94"/>
        <v>77.560186386108398</v>
      </c>
      <c r="D158" s="4">
        <f>1629129323.17418-1629129323.09614</f>
        <v>7.8040122985839844E-2</v>
      </c>
      <c r="E158" s="3">
        <f t="shared" si="95"/>
        <v>78.040122985839844</v>
      </c>
      <c r="G158" s="4">
        <f>1629129323.17486-1629129323.09614</f>
        <v>7.87200927734375E-2</v>
      </c>
      <c r="H158" s="3">
        <f t="shared" si="96"/>
        <v>78.7200927734375</v>
      </c>
      <c r="J158" s="4">
        <f>1629129323.17429-1629129323.09614</f>
        <v>7.8150033950805664E-2</v>
      </c>
      <c r="K158" s="3">
        <f t="shared" si="97"/>
        <v>78.150033950805664</v>
      </c>
      <c r="M158" s="4">
        <f>1629129323.17454-1629129323.09614</f>
        <v>7.8400135040283203E-2</v>
      </c>
      <c r="N158" s="3">
        <f t="shared" si="98"/>
        <v>78.400135040283203</v>
      </c>
      <c r="S158" s="4">
        <f>1629129651.03911-1629129650.95537</f>
        <v>8.3739995956420898E-2</v>
      </c>
      <c r="T158" s="3">
        <f t="shared" si="99"/>
        <v>83.739995956420898</v>
      </c>
      <c r="V158" s="4">
        <f>1629129651.03973-1629129650.95537</f>
        <v>8.4360122680664063E-2</v>
      </c>
      <c r="W158" s="3">
        <f t="shared" si="100"/>
        <v>84.360122680664063</v>
      </c>
      <c r="Y158" s="4">
        <f>1629129651.03942-1629129650.95537</f>
        <v>8.404994010925293E-2</v>
      </c>
      <c r="Z158" s="3">
        <f t="shared" si="101"/>
        <v>84.04994010925293</v>
      </c>
      <c r="AB158" s="4">
        <f>1629129651.04032-1629129650.95537</f>
        <v>8.4949970245361328E-2</v>
      </c>
      <c r="AC158" s="3">
        <f t="shared" si="102"/>
        <v>84.949970245361328</v>
      </c>
      <c r="AE158" s="4">
        <f>1629129651.03962-1629129650.95537</f>
        <v>8.4249973297119141E-2</v>
      </c>
      <c r="AF158" s="3">
        <f t="shared" si="103"/>
        <v>84.249973297119141</v>
      </c>
    </row>
    <row r="159" spans="1:32" x14ac:dyDescent="0.3">
      <c r="A159" s="4">
        <f>1629129324.26003-1629129324.17571</f>
        <v>8.4320068359375E-2</v>
      </c>
      <c r="B159" s="3">
        <f t="shared" si="94"/>
        <v>84.320068359375</v>
      </c>
      <c r="D159" s="4">
        <f>1629129324.26054-1629129324.17571</f>
        <v>8.4830045700073242E-2</v>
      </c>
      <c r="E159" s="3">
        <f t="shared" si="95"/>
        <v>84.830045700073242</v>
      </c>
      <c r="G159" s="4">
        <f>1629129324.26065-1629129324.17571</f>
        <v>8.4939956665039063E-2</v>
      </c>
      <c r="H159" s="3">
        <f t="shared" si="96"/>
        <v>84.939956665039063</v>
      </c>
      <c r="J159" s="4">
        <f>1629129324.26141-1629129324.17571</f>
        <v>8.5700035095214844E-2</v>
      </c>
      <c r="K159" s="3">
        <f t="shared" si="97"/>
        <v>85.700035095214844</v>
      </c>
      <c r="M159" s="4">
        <f>1629129324.26066-1629129324.17571</f>
        <v>8.4949970245361328E-2</v>
      </c>
      <c r="N159" s="3">
        <f t="shared" si="98"/>
        <v>84.949970245361328</v>
      </c>
      <c r="S159" s="4">
        <f>1629129652.12555-1629129652.04216</f>
        <v>8.3389997482299805E-2</v>
      </c>
      <c r="T159" s="3">
        <f t="shared" si="99"/>
        <v>83.389997482299805</v>
      </c>
      <c r="V159" s="4">
        <f>1629129652.12606-1629129652.04216</f>
        <v>8.3899974822998047E-2</v>
      </c>
      <c r="W159" s="3">
        <f t="shared" si="100"/>
        <v>83.899974822998047</v>
      </c>
      <c r="Y159" s="4">
        <f>1629129652.12584-1629129652.04216</f>
        <v>8.3679914474487305E-2</v>
      </c>
      <c r="Z159" s="3">
        <f t="shared" si="101"/>
        <v>83.679914474487305</v>
      </c>
      <c r="AB159" s="4">
        <f>1629129652.12665-1629129652.04216</f>
        <v>8.4490060806274414E-2</v>
      </c>
      <c r="AC159" s="3">
        <f t="shared" si="102"/>
        <v>84.490060806274414</v>
      </c>
      <c r="AE159" s="4">
        <f>1629129652.12603-1629129652.04216</f>
        <v>8.386993408203125E-2</v>
      </c>
      <c r="AF159" s="3">
        <f t="shared" si="103"/>
        <v>83.86993408203125</v>
      </c>
    </row>
    <row r="160" spans="1:32" x14ac:dyDescent="0.3">
      <c r="A160" s="4">
        <f>1629129325.34709-1629129325.26184</f>
        <v>8.5249900817871094E-2</v>
      </c>
      <c r="B160" s="3">
        <f t="shared" si="94"/>
        <v>85.249900817871094</v>
      </c>
      <c r="D160" s="4">
        <f>1629129325.34752-1629129325.26184</f>
        <v>8.5680007934570313E-2</v>
      </c>
      <c r="E160" s="3">
        <f t="shared" si="95"/>
        <v>85.680007934570313</v>
      </c>
      <c r="G160" s="4">
        <f>1629129325.34824-1629129325.26184</f>
        <v>8.639979362487793E-2</v>
      </c>
      <c r="H160" s="3">
        <f t="shared" si="96"/>
        <v>86.39979362487793</v>
      </c>
      <c r="J160" s="4">
        <f>1629129325.34796-1629129325.26184</f>
        <v>8.6119890213012695E-2</v>
      </c>
      <c r="K160" s="3">
        <f t="shared" si="97"/>
        <v>86.119890213012695</v>
      </c>
      <c r="M160" s="4">
        <f>1629129325.34786-1629129325.26184</f>
        <v>8.6019992828369141E-2</v>
      </c>
      <c r="N160" s="3">
        <f t="shared" si="98"/>
        <v>86.019992828369141</v>
      </c>
      <c r="S160" s="4">
        <f>1629129653.21117-1629129653.12829</f>
        <v>8.2880020141601563E-2</v>
      </c>
      <c r="T160" s="3">
        <f t="shared" si="99"/>
        <v>82.880020141601563</v>
      </c>
      <c r="V160" s="4">
        <f>1629129653.21178-1629129653.12829</f>
        <v>8.3490133285522461E-2</v>
      </c>
      <c r="W160" s="3">
        <f t="shared" si="100"/>
        <v>83.490133285522461</v>
      </c>
      <c r="Y160" s="4">
        <f>1629129653.21143-1629129653.12829</f>
        <v>8.3140134811401367E-2</v>
      </c>
      <c r="Z160" s="3">
        <f t="shared" si="101"/>
        <v>83.140134811401367</v>
      </c>
      <c r="AB160" s="4">
        <f>1629129653.21235-1629129653.12829</f>
        <v>8.4059953689575195E-2</v>
      </c>
      <c r="AC160" s="3">
        <f t="shared" si="102"/>
        <v>84.059953689575195</v>
      </c>
      <c r="AE160" s="4">
        <f>1629129653.21173-1629129653.12829</f>
        <v>8.3440065383911133E-2</v>
      </c>
      <c r="AF160" s="3">
        <f t="shared" si="103"/>
        <v>83.440065383911133</v>
      </c>
    </row>
    <row r="161" spans="1:32" x14ac:dyDescent="0.3">
      <c r="A161" s="4">
        <f>1629129326.42725-1629129326.34846</f>
        <v>7.8789949417114258E-2</v>
      </c>
      <c r="B161" s="3">
        <f t="shared" si="94"/>
        <v>78.789949417114258</v>
      </c>
      <c r="D161" s="4">
        <f>1629129326.42794-1629129326.34846</f>
        <v>7.947993278503418E-2</v>
      </c>
      <c r="E161" s="3">
        <f t="shared" si="95"/>
        <v>79.47993278503418</v>
      </c>
      <c r="G161" s="4">
        <f>1629129326.42804-1629129326.34846</f>
        <v>7.9580068588256836E-2</v>
      </c>
      <c r="H161" s="3">
        <f t="shared" si="96"/>
        <v>79.580068588256836</v>
      </c>
      <c r="J161" s="4">
        <f>1629129326.42836-1629129326.34846</f>
        <v>7.9900026321411133E-2</v>
      </c>
      <c r="K161" s="3">
        <f t="shared" si="97"/>
        <v>79.900026321411133</v>
      </c>
      <c r="M161" s="4">
        <f>1629129326.42812-1629129326.34846</f>
        <v>7.9659938812255859E-2</v>
      </c>
      <c r="N161" s="3">
        <f t="shared" si="98"/>
        <v>79.659938812255859</v>
      </c>
      <c r="S161" s="4">
        <f>1629129654.296-1629129654.21416</f>
        <v>8.1840038299560547E-2</v>
      </c>
      <c r="T161" s="3">
        <f t="shared" si="99"/>
        <v>81.840038299560547</v>
      </c>
      <c r="V161" s="4">
        <f>1629129654.29684-1629129654.21416</f>
        <v>8.2679986953735352E-2</v>
      </c>
      <c r="W161" s="3">
        <f t="shared" si="100"/>
        <v>82.679986953735352</v>
      </c>
      <c r="Y161" s="4">
        <f>1629129654.29612-1629129654.21416</f>
        <v>8.1959962844848633E-2</v>
      </c>
      <c r="Z161" s="3">
        <f t="shared" si="101"/>
        <v>81.959962844848633</v>
      </c>
      <c r="AB161" s="4">
        <f>1629129654.29694-1629129654.21416</f>
        <v>8.2780122756958008E-2</v>
      </c>
      <c r="AC161" s="3">
        <f t="shared" si="102"/>
        <v>82.780122756958008</v>
      </c>
      <c r="AE161" s="4">
        <f>1629129654.29622-1629129654.21416</f>
        <v>8.2060098648071289E-2</v>
      </c>
      <c r="AF161" s="3">
        <f t="shared" si="103"/>
        <v>82.060098648071289</v>
      </c>
    </row>
    <row r="162" spans="1:32" x14ac:dyDescent="0.3">
      <c r="A162" s="4">
        <f>1629129327.51217-1629129327.42945</f>
        <v>8.2720041275024414E-2</v>
      </c>
      <c r="B162" s="3">
        <f t="shared" si="94"/>
        <v>82.720041275024414</v>
      </c>
      <c r="D162" s="4">
        <f>1629129327.51327-1629129327.42945</f>
        <v>8.3819866180419922E-2</v>
      </c>
      <c r="E162" s="3">
        <f t="shared" si="95"/>
        <v>83.819866180419922</v>
      </c>
      <c r="G162" s="4">
        <f>1629129327.51281-1629129327.42945</f>
        <v>8.3359956741333008E-2</v>
      </c>
      <c r="H162" s="3">
        <f t="shared" si="96"/>
        <v>83.359956741333008</v>
      </c>
      <c r="J162" s="4">
        <f>1629129327.5121-1629129327.42945</f>
        <v>8.2649946212768555E-2</v>
      </c>
      <c r="K162" s="3">
        <f t="shared" si="97"/>
        <v>82.649946212768555</v>
      </c>
      <c r="M162" s="4">
        <f>1629129327.51271-1629129327.42945</f>
        <v>8.3260059356689453E-2</v>
      </c>
      <c r="N162" s="3">
        <f t="shared" si="98"/>
        <v>83.260059356689453</v>
      </c>
      <c r="S162" s="4">
        <f>1629129655.38471-1629129655.29908</f>
        <v>8.5630178451538086E-2</v>
      </c>
      <c r="T162" s="3">
        <f t="shared" si="99"/>
        <v>85.630178451538086</v>
      </c>
      <c r="V162" s="4">
        <f>1629129655.38587-1629129655.29908</f>
        <v>8.6790084838867188E-2</v>
      </c>
      <c r="W162" s="3">
        <f t="shared" si="100"/>
        <v>86.790084838867188</v>
      </c>
      <c r="Y162" s="4">
        <f>1629129655.38502-1629129655.29908</f>
        <v>8.5940122604370117E-2</v>
      </c>
      <c r="Z162" s="3">
        <f t="shared" si="101"/>
        <v>85.940122604370117</v>
      </c>
      <c r="AB162" s="4">
        <f>1629129655.38559-1629129655.29908</f>
        <v>8.6510181427001953E-2</v>
      </c>
      <c r="AC162" s="3">
        <f t="shared" si="102"/>
        <v>86.510181427001953</v>
      </c>
      <c r="AE162" s="4">
        <f>1629129655.38516-1629129655.29908</f>
        <v>8.6080074310302734E-2</v>
      </c>
      <c r="AF162" s="3">
        <f t="shared" si="103"/>
        <v>86.080074310302734</v>
      </c>
    </row>
    <row r="163" spans="1:32" x14ac:dyDescent="0.3">
      <c r="A163" s="4">
        <f>1629129328.60237-1629129328.51356</f>
        <v>8.8809967041015625E-2</v>
      </c>
      <c r="B163" s="3">
        <f t="shared" si="94"/>
        <v>88.809967041015625</v>
      </c>
      <c r="D163" s="4">
        <f>1629129328.60229-1629129328.51356</f>
        <v>8.87298583984375E-2</v>
      </c>
      <c r="E163" s="3">
        <f t="shared" si="95"/>
        <v>88.7298583984375</v>
      </c>
      <c r="G163" s="4">
        <f>1629129328.60286-1629129328.51356</f>
        <v>8.9299917221069336E-2</v>
      </c>
      <c r="H163" s="3">
        <f t="shared" si="96"/>
        <v>89.299917221069336</v>
      </c>
      <c r="J163" s="4">
        <f>1629129328.60331-1629129328.51356</f>
        <v>8.9750051498413086E-2</v>
      </c>
      <c r="K163" s="3">
        <f t="shared" si="97"/>
        <v>89.750051498413086</v>
      </c>
      <c r="M163" s="4">
        <f>1629129328.60337-1629129328.51356</f>
        <v>8.9809894561767578E-2</v>
      </c>
      <c r="N163" s="3">
        <f t="shared" si="98"/>
        <v>89.809894561767578</v>
      </c>
      <c r="S163" s="4">
        <f>1629129656.47359-1629129656.3877</f>
        <v>8.5889816284179688E-2</v>
      </c>
      <c r="T163" s="3">
        <f t="shared" si="99"/>
        <v>85.889816284179688</v>
      </c>
      <c r="V163" s="4">
        <f>1629129656.47482-1629129656.3877</f>
        <v>8.7119817733764648E-2</v>
      </c>
      <c r="W163" s="3">
        <f t="shared" si="100"/>
        <v>87.119817733764648</v>
      </c>
      <c r="Y163" s="4">
        <f>1629129656.47394-1629129656.3877</f>
        <v>8.6239814758300781E-2</v>
      </c>
      <c r="Z163" s="3">
        <f t="shared" si="101"/>
        <v>86.239814758300781</v>
      </c>
      <c r="AB163" s="4">
        <f>1629129656.47454-1629129656.3877</f>
        <v>8.6839914321899414E-2</v>
      </c>
      <c r="AC163" s="3">
        <f t="shared" si="102"/>
        <v>86.839914321899414</v>
      </c>
      <c r="AE163" s="4">
        <f>1629129656.47405-1629129656.3877</f>
        <v>8.6349964141845703E-2</v>
      </c>
      <c r="AF163" s="3">
        <f t="shared" si="103"/>
        <v>86.349964141845703</v>
      </c>
    </row>
    <row r="164" spans="1:32" x14ac:dyDescent="0.3">
      <c r="A164" s="4">
        <f>1629129329.69179-1629129329.6043</f>
        <v>8.7490081787109375E-2</v>
      </c>
      <c r="B164" s="3">
        <f t="shared" si="94"/>
        <v>87.490081787109375</v>
      </c>
      <c r="D164" s="4">
        <f>1629129329.69231-1629129329.6043</f>
        <v>8.8010072708129883E-2</v>
      </c>
      <c r="E164" s="3">
        <f t="shared" si="95"/>
        <v>88.010072708129883</v>
      </c>
      <c r="G164" s="4">
        <f>1629129329.6915-1629129329.6043</f>
        <v>8.7199926376342773E-2</v>
      </c>
      <c r="H164" s="3">
        <f t="shared" si="96"/>
        <v>87.199926376342773</v>
      </c>
      <c r="J164" s="4">
        <f>1629129329.69202-1629129329.6043</f>
        <v>8.7719917297363281E-2</v>
      </c>
      <c r="K164" s="3">
        <f t="shared" si="97"/>
        <v>87.719917297363281</v>
      </c>
      <c r="M164" s="4">
        <f>1629129329.69252-1629129329.6043</f>
        <v>8.8219881057739258E-2</v>
      </c>
      <c r="N164" s="3">
        <f t="shared" si="98"/>
        <v>88.219881057739258</v>
      </c>
      <c r="S164" s="4">
        <f>1629129657.55917-1629129657.47651</f>
        <v>8.265995979309082E-2</v>
      </c>
      <c r="T164" s="3">
        <f t="shared" si="99"/>
        <v>82.65995979309082</v>
      </c>
      <c r="V164" s="4">
        <f>1629129657.56038-1629129657.47651</f>
        <v>8.386993408203125E-2</v>
      </c>
      <c r="W164" s="3">
        <f t="shared" si="100"/>
        <v>83.86993408203125</v>
      </c>
      <c r="Y164" s="4">
        <f>1629129657.55953-1629129657.47651</f>
        <v>8.301997184753418E-2</v>
      </c>
      <c r="Z164" s="3">
        <f t="shared" si="101"/>
        <v>83.01997184753418</v>
      </c>
      <c r="AB164" s="4">
        <f>1629129657.56005-1629129657.47651</f>
        <v>8.3539962768554688E-2</v>
      </c>
      <c r="AC164" s="3">
        <f t="shared" si="102"/>
        <v>83.539962768554688</v>
      </c>
      <c r="AE164" s="4">
        <f>1629129657.55965-1629129657.47651</f>
        <v>8.3139896392822266E-2</v>
      </c>
      <c r="AF164" s="3">
        <f t="shared" si="103"/>
        <v>83.139896392822266</v>
      </c>
    </row>
    <row r="165" spans="1:32" x14ac:dyDescent="0.3">
      <c r="A165" s="4">
        <f>1629129330.77439-1629129330.69312</f>
        <v>8.1269979476928711E-2</v>
      </c>
      <c r="B165" s="3">
        <f t="shared" si="94"/>
        <v>81.269979476928711</v>
      </c>
      <c r="D165" s="4">
        <f>1629129330.77445-1629129330.69312</f>
        <v>8.1330060958862305E-2</v>
      </c>
      <c r="E165" s="3">
        <f t="shared" si="95"/>
        <v>81.330060958862305</v>
      </c>
      <c r="G165" s="4">
        <f>1629129330.77917-1629129330.69312</f>
        <v>8.6050033569335938E-2</v>
      </c>
      <c r="H165" s="3">
        <f t="shared" si="96"/>
        <v>86.050033569335938</v>
      </c>
      <c r="J165" s="4">
        <f>1629129330.78165-1629129330.69312</f>
        <v>8.8530063629150391E-2</v>
      </c>
      <c r="K165" s="3">
        <f t="shared" si="97"/>
        <v>88.530063629150391</v>
      </c>
      <c r="M165" s="4">
        <f>1629129330.77951-1629129330.69312</f>
        <v>8.6390018463134766E-2</v>
      </c>
      <c r="N165" s="3">
        <f t="shared" si="98"/>
        <v>86.390018463134766</v>
      </c>
      <c r="S165" s="4">
        <f>1629129658.64467-1629129658.5623</f>
        <v>8.237004280090332E-2</v>
      </c>
      <c r="T165" s="3">
        <f t="shared" si="99"/>
        <v>82.37004280090332</v>
      </c>
      <c r="V165" s="4">
        <f>1629129658.64656-1629129658.5623</f>
        <v>8.4259986877441406E-2</v>
      </c>
      <c r="W165" s="3">
        <f t="shared" si="100"/>
        <v>84.259986877441406</v>
      </c>
      <c r="Y165" s="4">
        <f>1629129658.64522-1629129658.5623</f>
        <v>8.2920074462890625E-2</v>
      </c>
      <c r="Z165" s="3">
        <f t="shared" si="101"/>
        <v>82.920074462890625</v>
      </c>
      <c r="AB165" s="4">
        <f>1629129658.64986-1629129658.5623</f>
        <v>8.7559938430786133E-2</v>
      </c>
      <c r="AC165" s="3">
        <f t="shared" si="102"/>
        <v>87.559938430786133</v>
      </c>
      <c r="AE165" s="4">
        <f>1629129658.64542-1629129658.5623</f>
        <v>8.3120107650756836E-2</v>
      </c>
      <c r="AF165" s="3">
        <f t="shared" si="103"/>
        <v>83.120107650756836</v>
      </c>
    </row>
    <row r="166" spans="1:32" x14ac:dyDescent="0.3">
      <c r="B166" s="2">
        <f>AVERAGE(B156:B165)</f>
        <v>83.559989929199219</v>
      </c>
      <c r="E166" s="2">
        <f>AVERAGE(E156:E165)</f>
        <v>84.04698371887207</v>
      </c>
      <c r="H166" s="2">
        <f>AVERAGE(H156:H165)</f>
        <v>84.686946868896484</v>
      </c>
      <c r="K166" s="2">
        <f>AVERAGE(K156:K165)</f>
        <v>84.893989562988281</v>
      </c>
      <c r="N166" s="2">
        <f>AVERAGE(N156:N165)</f>
        <v>84.741997718811035</v>
      </c>
      <c r="T166" s="2">
        <f>AVERAGE(T156:T165)</f>
        <v>83.160018920898438</v>
      </c>
      <c r="W166" s="2">
        <f>AVERAGE(W156:W165)</f>
        <v>84.100985527038574</v>
      </c>
      <c r="Z166" s="2">
        <f>AVERAGE(Z156:Z165)</f>
        <v>83.475995063781738</v>
      </c>
      <c r="AC166" s="2">
        <f>AVERAGE(AC156:AC165)</f>
        <v>84.597992897033691</v>
      </c>
      <c r="AF166" s="2">
        <f>AVERAGE(AF156:AF165)</f>
        <v>83.636999130249023</v>
      </c>
    </row>
  </sheetData>
  <mergeCells count="206">
    <mergeCell ref="A1:K1"/>
    <mergeCell ref="A18:B18"/>
    <mergeCell ref="D18:E18"/>
    <mergeCell ref="G18:H18"/>
    <mergeCell ref="J18:K18"/>
    <mergeCell ref="M18:N18"/>
    <mergeCell ref="V18:W18"/>
    <mergeCell ref="Y18:Z18"/>
    <mergeCell ref="AB18:AC18"/>
    <mergeCell ref="A2:B2"/>
    <mergeCell ref="D2:E2"/>
    <mergeCell ref="G2:H2"/>
    <mergeCell ref="J2:K2"/>
    <mergeCell ref="A16:AF16"/>
    <mergeCell ref="A19:B19"/>
    <mergeCell ref="D19:E19"/>
    <mergeCell ref="G19:H19"/>
    <mergeCell ref="J19:K19"/>
    <mergeCell ref="M19:N19"/>
    <mergeCell ref="A33:B33"/>
    <mergeCell ref="D33:E33"/>
    <mergeCell ref="G33:H33"/>
    <mergeCell ref="J33:K33"/>
    <mergeCell ref="M33:N33"/>
    <mergeCell ref="A34:B34"/>
    <mergeCell ref="D34:E34"/>
    <mergeCell ref="G34:H34"/>
    <mergeCell ref="J34:K34"/>
    <mergeCell ref="M34:N34"/>
    <mergeCell ref="A48:B48"/>
    <mergeCell ref="D48:E48"/>
    <mergeCell ref="G48:H48"/>
    <mergeCell ref="J48:K48"/>
    <mergeCell ref="M48:N48"/>
    <mergeCell ref="A49:B49"/>
    <mergeCell ref="D49:E49"/>
    <mergeCell ref="G49:H49"/>
    <mergeCell ref="J49:K49"/>
    <mergeCell ref="M49:N49"/>
    <mergeCell ref="A63:B63"/>
    <mergeCell ref="D63:E63"/>
    <mergeCell ref="G63:H63"/>
    <mergeCell ref="J63:K63"/>
    <mergeCell ref="M63:N63"/>
    <mergeCell ref="A64:B64"/>
    <mergeCell ref="D64:E64"/>
    <mergeCell ref="G64:H64"/>
    <mergeCell ref="J64:K64"/>
    <mergeCell ref="M64:N64"/>
    <mergeCell ref="A78:B78"/>
    <mergeCell ref="D78:E78"/>
    <mergeCell ref="G78:H78"/>
    <mergeCell ref="J78:K78"/>
    <mergeCell ref="M78:N78"/>
    <mergeCell ref="A79:B79"/>
    <mergeCell ref="D79:E79"/>
    <mergeCell ref="G79:H79"/>
    <mergeCell ref="J79:K79"/>
    <mergeCell ref="M79:N79"/>
    <mergeCell ref="A93:B93"/>
    <mergeCell ref="D93:E93"/>
    <mergeCell ref="G93:H93"/>
    <mergeCell ref="J93:K93"/>
    <mergeCell ref="M93:N93"/>
    <mergeCell ref="A94:B94"/>
    <mergeCell ref="D94:E94"/>
    <mergeCell ref="G94:H94"/>
    <mergeCell ref="J94:K94"/>
    <mergeCell ref="M94:N94"/>
    <mergeCell ref="A108:B108"/>
    <mergeCell ref="D108:E108"/>
    <mergeCell ref="G108:H108"/>
    <mergeCell ref="J108:K108"/>
    <mergeCell ref="M108:N108"/>
    <mergeCell ref="A109:B109"/>
    <mergeCell ref="D109:E109"/>
    <mergeCell ref="G109:H109"/>
    <mergeCell ref="J109:K109"/>
    <mergeCell ref="M109:N109"/>
    <mergeCell ref="A123:B123"/>
    <mergeCell ref="D123:E123"/>
    <mergeCell ref="G123:H123"/>
    <mergeCell ref="J123:K123"/>
    <mergeCell ref="M123:N123"/>
    <mergeCell ref="J153:K153"/>
    <mergeCell ref="M153:N153"/>
    <mergeCell ref="A124:B124"/>
    <mergeCell ref="D124:E124"/>
    <mergeCell ref="G124:H124"/>
    <mergeCell ref="J124:K124"/>
    <mergeCell ref="M124:N124"/>
    <mergeCell ref="A138:B138"/>
    <mergeCell ref="D138:E138"/>
    <mergeCell ref="G138:H138"/>
    <mergeCell ref="J138:K138"/>
    <mergeCell ref="M138:N138"/>
    <mergeCell ref="AE18:AF18"/>
    <mergeCell ref="S19:T19"/>
    <mergeCell ref="V19:W19"/>
    <mergeCell ref="Y19:Z19"/>
    <mergeCell ref="AB19:AC19"/>
    <mergeCell ref="AE19:AF19"/>
    <mergeCell ref="A154:B154"/>
    <mergeCell ref="D154:E154"/>
    <mergeCell ref="G154:H154"/>
    <mergeCell ref="J154:K154"/>
    <mergeCell ref="M154:N154"/>
    <mergeCell ref="S18:T18"/>
    <mergeCell ref="S33:T33"/>
    <mergeCell ref="S48:T48"/>
    <mergeCell ref="S63:T63"/>
    <mergeCell ref="S78:T78"/>
    <mergeCell ref="A139:B139"/>
    <mergeCell ref="D139:E139"/>
    <mergeCell ref="G139:H139"/>
    <mergeCell ref="J139:K139"/>
    <mergeCell ref="M139:N139"/>
    <mergeCell ref="A153:B153"/>
    <mergeCell ref="D153:E153"/>
    <mergeCell ref="G153:H153"/>
    <mergeCell ref="V33:W33"/>
    <mergeCell ref="Y33:Z33"/>
    <mergeCell ref="AB33:AC33"/>
    <mergeCell ref="AE33:AF33"/>
    <mergeCell ref="S34:T34"/>
    <mergeCell ref="V34:W34"/>
    <mergeCell ref="Y34:Z34"/>
    <mergeCell ref="AB34:AC34"/>
    <mergeCell ref="AE34:AF34"/>
    <mergeCell ref="V48:W48"/>
    <mergeCell ref="Y48:Z48"/>
    <mergeCell ref="AB48:AC48"/>
    <mergeCell ref="AE48:AF48"/>
    <mergeCell ref="S49:T49"/>
    <mergeCell ref="V49:W49"/>
    <mergeCell ref="Y49:Z49"/>
    <mergeCell ref="AB49:AC49"/>
    <mergeCell ref="AE49:AF49"/>
    <mergeCell ref="V63:W63"/>
    <mergeCell ref="Y63:Z63"/>
    <mergeCell ref="AB63:AC63"/>
    <mergeCell ref="AE63:AF63"/>
    <mergeCell ref="S64:T64"/>
    <mergeCell ref="V64:W64"/>
    <mergeCell ref="Y64:Z64"/>
    <mergeCell ref="AB64:AC64"/>
    <mergeCell ref="AE64:AF64"/>
    <mergeCell ref="V78:W78"/>
    <mergeCell ref="Y78:Z78"/>
    <mergeCell ref="AB78:AC78"/>
    <mergeCell ref="AE78:AF78"/>
    <mergeCell ref="S79:T79"/>
    <mergeCell ref="V79:W79"/>
    <mergeCell ref="Y79:Z79"/>
    <mergeCell ref="AB79:AC79"/>
    <mergeCell ref="AE79:AF79"/>
    <mergeCell ref="S93:T93"/>
    <mergeCell ref="V93:W93"/>
    <mergeCell ref="Y93:Z93"/>
    <mergeCell ref="AB93:AC93"/>
    <mergeCell ref="AE93:AF93"/>
    <mergeCell ref="S94:T94"/>
    <mergeCell ref="V94:W94"/>
    <mergeCell ref="Y94:Z94"/>
    <mergeCell ref="AB94:AC94"/>
    <mergeCell ref="AE94:AF94"/>
    <mergeCell ref="AB123:AC123"/>
    <mergeCell ref="AE123:AF123"/>
    <mergeCell ref="S124:T124"/>
    <mergeCell ref="V124:W124"/>
    <mergeCell ref="Y124:Z124"/>
    <mergeCell ref="AB124:AC124"/>
    <mergeCell ref="AE124:AF124"/>
    <mergeCell ref="S108:T108"/>
    <mergeCell ref="V108:W108"/>
    <mergeCell ref="Y108:Z108"/>
    <mergeCell ref="AB108:AC108"/>
    <mergeCell ref="AE108:AF108"/>
    <mergeCell ref="S109:T109"/>
    <mergeCell ref="V109:W109"/>
    <mergeCell ref="Y109:Z109"/>
    <mergeCell ref="AB109:AC109"/>
    <mergeCell ref="AE109:AF109"/>
    <mergeCell ref="S123:T123"/>
    <mergeCell ref="V123:W123"/>
    <mergeCell ref="Y123:Z123"/>
    <mergeCell ref="S153:T153"/>
    <mergeCell ref="V153:W153"/>
    <mergeCell ref="Y153:Z153"/>
    <mergeCell ref="AB153:AC153"/>
    <mergeCell ref="AE153:AF153"/>
    <mergeCell ref="S154:T154"/>
    <mergeCell ref="V154:W154"/>
    <mergeCell ref="Y154:Z154"/>
    <mergeCell ref="AB154:AC154"/>
    <mergeCell ref="AE154:AF154"/>
    <mergeCell ref="S138:T138"/>
    <mergeCell ref="V138:W138"/>
    <mergeCell ref="Y138:Z138"/>
    <mergeCell ref="AB138:AC138"/>
    <mergeCell ref="AE138:AF138"/>
    <mergeCell ref="S139:T139"/>
    <mergeCell ref="V139:W139"/>
    <mergeCell ref="Y139:Z139"/>
    <mergeCell ref="AB139:AC139"/>
    <mergeCell ref="AE139:AF1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F5C7-0762-4509-8A04-43F8E8CE8E9D}">
  <dimension ref="A1:AY166"/>
  <sheetViews>
    <sheetView zoomScale="55" zoomScaleNormal="55" workbookViewId="0">
      <selection sqref="A1:K1"/>
    </sheetView>
  </sheetViews>
  <sheetFormatPr defaultRowHeight="14.4" x14ac:dyDescent="0.3"/>
  <sheetData>
    <row r="1" spans="1:51" ht="23.4" x14ac:dyDescent="0.45">
      <c r="A1" s="7" t="s">
        <v>64</v>
      </c>
      <c r="B1" s="7"/>
      <c r="C1" s="7"/>
      <c r="D1" s="7"/>
      <c r="E1" s="7"/>
      <c r="F1" s="7"/>
      <c r="G1" s="7"/>
      <c r="H1" s="7"/>
      <c r="I1" s="7"/>
      <c r="J1" s="7"/>
      <c r="K1" s="7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51" ht="44.4" customHeight="1" x14ac:dyDescent="0.3">
      <c r="A2" s="9" t="s">
        <v>8</v>
      </c>
      <c r="B2" s="9"/>
      <c r="D2" s="9" t="s">
        <v>10</v>
      </c>
      <c r="E2" s="9"/>
      <c r="G2" s="9" t="s">
        <v>9</v>
      </c>
      <c r="H2" s="9"/>
      <c r="J2" s="9" t="s">
        <v>11</v>
      </c>
      <c r="K2" s="9"/>
    </row>
    <row r="3" spans="1:51" x14ac:dyDescent="0.3">
      <c r="A3" s="1" t="s">
        <v>1</v>
      </c>
      <c r="B3" s="1" t="s">
        <v>0</v>
      </c>
      <c r="D3" s="1" t="s">
        <v>1</v>
      </c>
      <c r="E3" s="1" t="s">
        <v>0</v>
      </c>
      <c r="G3" s="1" t="s">
        <v>1</v>
      </c>
      <c r="H3" s="1" t="s">
        <v>0</v>
      </c>
      <c r="J3" s="1" t="s">
        <v>1</v>
      </c>
      <c r="K3" s="1" t="s">
        <v>0</v>
      </c>
    </row>
    <row r="4" spans="1:51" x14ac:dyDescent="0.3">
      <c r="A4" s="4">
        <f>1629137301.4448-1629137301.37874</f>
        <v>6.605982780456543E-2</v>
      </c>
      <c r="B4" s="3">
        <f>A4*1000</f>
        <v>66.05982780456543</v>
      </c>
      <c r="D4" s="4">
        <f>1629137360.01679-1629137359.95143</f>
        <v>6.5359830856323242E-2</v>
      </c>
      <c r="E4" s="3">
        <f>D4*1000</f>
        <v>65.359830856323242</v>
      </c>
      <c r="G4" s="4">
        <f>1629137326.12482-1629137326.05968</f>
        <v>6.5140008926391602E-2</v>
      </c>
      <c r="H4" s="3">
        <f>G4*1000</f>
        <v>65.140008926391602</v>
      </c>
      <c r="J4" s="4">
        <f>1629137386.87682-1629137386.80903</f>
        <v>6.7790031433105469E-2</v>
      </c>
      <c r="K4" s="3">
        <f>J4*1000</f>
        <v>67.790031433105469</v>
      </c>
    </row>
    <row r="5" spans="1:51" x14ac:dyDescent="0.3">
      <c r="A5" s="4">
        <f>1629137302.51678-1629137302.44869</f>
        <v>6.8089962005615234E-2</v>
      </c>
      <c r="B5" s="3">
        <f t="shared" ref="B5:B13" si="0">A5*1000</f>
        <v>68.089962005615234</v>
      </c>
      <c r="D5" s="4">
        <f>1629137361.08882-1629137361.02078</f>
        <v>6.8039894104003906E-2</v>
      </c>
      <c r="E5" s="3">
        <f t="shared" ref="E5:E13" si="1">D5*1000</f>
        <v>68.039894104003906</v>
      </c>
      <c r="G5" s="4">
        <f>1629137327.19684-1629137327.12878</f>
        <v>6.8060159683227539E-2</v>
      </c>
      <c r="H5" s="3">
        <f t="shared" ref="H5:H13" si="2">G5*1000</f>
        <v>68.060159683227539</v>
      </c>
      <c r="J5" s="4">
        <f>1629137387.94884-1629137387.88091</f>
        <v>6.7929983139038086E-2</v>
      </c>
      <c r="K5" s="3">
        <f t="shared" ref="K5:K13" si="3">J5*1000</f>
        <v>67.929983139038086</v>
      </c>
    </row>
    <row r="6" spans="1:51" x14ac:dyDescent="0.3">
      <c r="A6" s="4">
        <f>1629137303.58478-1629137303.52057</f>
        <v>6.4209938049316406E-2</v>
      </c>
      <c r="B6" s="3">
        <f t="shared" si="0"/>
        <v>64.209938049316406</v>
      </c>
      <c r="D6" s="4">
        <f>1629137362.16081-1629137362.09258</f>
        <v>6.8229913711547852E-2</v>
      </c>
      <c r="E6" s="3">
        <f t="shared" si="1"/>
        <v>68.229913711547852</v>
      </c>
      <c r="G6" s="4">
        <f>1629137328.2688-1629137328.20062</f>
        <v>6.8180084228515625E-2</v>
      </c>
      <c r="H6" s="3">
        <f t="shared" si="2"/>
        <v>68.180084228515625</v>
      </c>
      <c r="J6" s="4">
        <f>1629137389.02083-1629137388.95263</f>
        <v>6.8199872970581055E-2</v>
      </c>
      <c r="K6" s="3">
        <f t="shared" si="3"/>
        <v>68.199872970581055</v>
      </c>
    </row>
    <row r="7" spans="1:51" x14ac:dyDescent="0.3">
      <c r="A7" s="4">
        <f>1629137304.65679-1629137304.5886</f>
        <v>6.8190097808837891E-2</v>
      </c>
      <c r="B7" s="3">
        <f t="shared" si="0"/>
        <v>68.190097808837891</v>
      </c>
      <c r="D7" s="4">
        <f>1629137363.23277-1629137363.16453</f>
        <v>6.8239927291870117E-2</v>
      </c>
      <c r="E7" s="3">
        <f t="shared" si="1"/>
        <v>68.239927291870117</v>
      </c>
      <c r="G7" s="4">
        <f>1629137329.34083-1629137329.27269</f>
        <v>6.8140029907226563E-2</v>
      </c>
      <c r="H7" s="3">
        <f t="shared" si="2"/>
        <v>68.140029907226563</v>
      </c>
      <c r="J7" s="4">
        <f>1629137390.09284-1629137390.02456</f>
        <v>6.827998161315918E-2</v>
      </c>
      <c r="K7" s="3">
        <f t="shared" si="3"/>
        <v>68.27998161315918</v>
      </c>
    </row>
    <row r="8" spans="1:51" x14ac:dyDescent="0.3">
      <c r="A8" s="4">
        <f>1629137305.72481-1629137305.66053</f>
        <v>6.4279794692993164E-2</v>
      </c>
      <c r="B8" s="3">
        <f t="shared" si="0"/>
        <v>64.279794692993164</v>
      </c>
      <c r="D8" s="4">
        <f>1629137364.30083-1629137364.23655</f>
        <v>6.4279794692993164E-2</v>
      </c>
      <c r="E8" s="3">
        <f t="shared" si="1"/>
        <v>64.279794692993164</v>
      </c>
      <c r="G8" s="4">
        <f>1629137330.41283-1629137330.34463</f>
        <v>6.8200111389160156E-2</v>
      </c>
      <c r="H8" s="3">
        <f t="shared" si="2"/>
        <v>68.200111389160156</v>
      </c>
      <c r="J8" s="4">
        <f>1629137391.1648-1629137391.09658</f>
        <v>6.8219900131225586E-2</v>
      </c>
      <c r="K8" s="3">
        <f t="shared" si="3"/>
        <v>68.219900131225586</v>
      </c>
    </row>
    <row r="9" spans="1:51" x14ac:dyDescent="0.3">
      <c r="A9" s="4">
        <f>1629137306.79679-1629137306.72851</f>
        <v>6.827998161315918E-2</v>
      </c>
      <c r="B9" s="3">
        <f t="shared" si="0"/>
        <v>68.27998161315918</v>
      </c>
      <c r="D9" s="4">
        <f>1629137365.36879-1629137365.30458</f>
        <v>6.4209938049316406E-2</v>
      </c>
      <c r="E9" s="3">
        <f t="shared" si="1"/>
        <v>64.209938049316406</v>
      </c>
      <c r="G9" s="4">
        <f>1629137331.48482-1629137331.41657</f>
        <v>6.8249940872192383E-2</v>
      </c>
      <c r="H9" s="3">
        <f t="shared" si="2"/>
        <v>68.249940872192383</v>
      </c>
      <c r="J9" s="4">
        <f>1629137392.23682-1629137392.16848</f>
        <v>6.8340063095092773E-2</v>
      </c>
      <c r="K9" s="3">
        <f t="shared" si="3"/>
        <v>68.340063095092773</v>
      </c>
    </row>
    <row r="10" spans="1:51" x14ac:dyDescent="0.3">
      <c r="A10" s="4">
        <f>1629137307.86879-1629137307.80056</f>
        <v>6.8229913711547852E-2</v>
      </c>
      <c r="B10" s="3">
        <f t="shared" si="0"/>
        <v>68.229913711547852</v>
      </c>
      <c r="D10" s="4">
        <f>1629137366.4408-1629137366.37252</f>
        <v>6.827998161315918E-2</v>
      </c>
      <c r="E10" s="3">
        <f t="shared" si="1"/>
        <v>68.27998161315918</v>
      </c>
      <c r="G10" s="4">
        <f>1629137332.55682-1629137332.48854</f>
        <v>6.827998161315918E-2</v>
      </c>
      <c r="H10" s="3">
        <f t="shared" si="2"/>
        <v>68.27998161315918</v>
      </c>
      <c r="J10" s="4">
        <f>1629137393.30881-1629137393.24061</f>
        <v>6.8200111389160156E-2</v>
      </c>
      <c r="K10" s="3">
        <f t="shared" si="3"/>
        <v>68.200111389160156</v>
      </c>
    </row>
    <row r="11" spans="1:51" x14ac:dyDescent="0.3">
      <c r="A11" s="4">
        <f>1629137308.93682-1629137308.87255</f>
        <v>6.427001953125E-2</v>
      </c>
      <c r="B11" s="3">
        <f t="shared" si="0"/>
        <v>64.27001953125</v>
      </c>
      <c r="D11" s="4">
        <f>1629137367.50883-1629137367.44454</f>
        <v>6.4290046691894531E-2</v>
      </c>
      <c r="E11" s="3">
        <f t="shared" si="1"/>
        <v>64.290046691894531</v>
      </c>
      <c r="G11" s="4">
        <f>1629137333.62879-1629137333.56072</f>
        <v>6.8069934844970703E-2</v>
      </c>
      <c r="H11" s="3">
        <f t="shared" si="2"/>
        <v>68.069934844970703</v>
      </c>
      <c r="J11" s="4">
        <f>1629137394.38082-1629137394.31254</f>
        <v>6.827998161315918E-2</v>
      </c>
      <c r="K11" s="3">
        <f t="shared" si="3"/>
        <v>68.27998161315918</v>
      </c>
    </row>
    <row r="12" spans="1:51" x14ac:dyDescent="0.3">
      <c r="A12" s="4">
        <f>1629137310.00879-1629137309.94053</f>
        <v>6.8259954452514648E-2</v>
      </c>
      <c r="B12" s="3">
        <f t="shared" si="0"/>
        <v>68.259954452514648</v>
      </c>
      <c r="D12" s="4">
        <f>1629137368.58082-1629137368.51256</f>
        <v>6.826019287109375E-2</v>
      </c>
      <c r="E12" s="3">
        <f t="shared" si="1"/>
        <v>68.26019287109375</v>
      </c>
      <c r="G12" s="4">
        <f>1629137334.70082-1629137334.63252</f>
        <v>6.8300008773803711E-2</v>
      </c>
      <c r="H12" s="3">
        <f t="shared" si="2"/>
        <v>68.300008773803711</v>
      </c>
      <c r="J12" s="4">
        <f>1629137395.45278-1629137395.38464</f>
        <v>6.8140029907226563E-2</v>
      </c>
      <c r="K12" s="3">
        <f t="shared" si="3"/>
        <v>68.140029907226563</v>
      </c>
    </row>
    <row r="13" spans="1:51" x14ac:dyDescent="0.3">
      <c r="A13" s="4">
        <f>1629137311.07682-1629137311.01263</f>
        <v>6.4189910888671875E-2</v>
      </c>
      <c r="B13" s="3">
        <f t="shared" si="0"/>
        <v>64.189910888671875</v>
      </c>
      <c r="D13" s="4">
        <f>1629137369.64884-1629137369.58456</f>
        <v>6.4280033111572266E-2</v>
      </c>
      <c r="E13" s="3">
        <f t="shared" si="1"/>
        <v>64.280033111572266</v>
      </c>
      <c r="G13" s="4">
        <f>1629137335.77282-1629137335.70463</f>
        <v>6.8190097808837891E-2</v>
      </c>
      <c r="H13" s="3">
        <f t="shared" si="2"/>
        <v>68.190097808837891</v>
      </c>
      <c r="J13" s="4">
        <f>1629137396.52485-1629137396.45658</f>
        <v>6.8269968032836914E-2</v>
      </c>
      <c r="K13" s="3">
        <f t="shared" si="3"/>
        <v>68.269968032836914</v>
      </c>
    </row>
    <row r="14" spans="1:51" x14ac:dyDescent="0.3">
      <c r="B14" s="2">
        <f>AVERAGE(B4:B13)</f>
        <v>66.405940055847168</v>
      </c>
      <c r="E14" s="2">
        <f>AVERAGE(E4:E13)</f>
        <v>66.346955299377441</v>
      </c>
      <c r="H14" s="2">
        <f>AVERAGE(H4:H13)</f>
        <v>67.881035804748535</v>
      </c>
      <c r="K14" s="2">
        <f>AVERAGE(K4:K13)</f>
        <v>68.164992332458496</v>
      </c>
    </row>
    <row r="16" spans="1:51" ht="23.4" x14ac:dyDescent="0.45">
      <c r="A16" s="7" t="s">
        <v>65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8" spans="1:32" x14ac:dyDescent="0.3">
      <c r="A18" s="6" t="s">
        <v>12</v>
      </c>
      <c r="B18" s="6"/>
      <c r="D18" s="6" t="s">
        <v>13</v>
      </c>
      <c r="E18" s="6"/>
      <c r="G18" s="6" t="s">
        <v>15</v>
      </c>
      <c r="H18" s="6"/>
      <c r="J18" s="6" t="s">
        <v>16</v>
      </c>
      <c r="K18" s="6"/>
      <c r="M18" s="6" t="s">
        <v>14</v>
      </c>
      <c r="N18" s="6"/>
      <c r="S18" s="6" t="s">
        <v>12</v>
      </c>
      <c r="T18" s="6"/>
      <c r="V18" s="6" t="s">
        <v>13</v>
      </c>
      <c r="W18" s="6"/>
      <c r="Y18" s="6" t="s">
        <v>15</v>
      </c>
      <c r="Z18" s="6"/>
      <c r="AB18" s="6" t="s">
        <v>16</v>
      </c>
      <c r="AC18" s="6"/>
      <c r="AE18" s="6" t="s">
        <v>14</v>
      </c>
      <c r="AF18" s="6"/>
    </row>
    <row r="19" spans="1:32" ht="45" customHeight="1" x14ac:dyDescent="0.3">
      <c r="A19" s="8" t="s">
        <v>62</v>
      </c>
      <c r="B19" s="8"/>
      <c r="D19" s="8" t="s">
        <v>62</v>
      </c>
      <c r="E19" s="8"/>
      <c r="G19" s="8" t="s">
        <v>62</v>
      </c>
      <c r="H19" s="8"/>
      <c r="J19" s="8" t="s">
        <v>62</v>
      </c>
      <c r="K19" s="8"/>
      <c r="M19" s="8" t="s">
        <v>62</v>
      </c>
      <c r="N19" s="8"/>
      <c r="S19" s="8" t="s">
        <v>63</v>
      </c>
      <c r="T19" s="8"/>
      <c r="V19" s="8" t="s">
        <v>63</v>
      </c>
      <c r="W19" s="8"/>
      <c r="Y19" s="8" t="s">
        <v>63</v>
      </c>
      <c r="Z19" s="8"/>
      <c r="AB19" s="8" t="s">
        <v>63</v>
      </c>
      <c r="AC19" s="8"/>
      <c r="AE19" s="8" t="s">
        <v>63</v>
      </c>
      <c r="AF19" s="8"/>
    </row>
    <row r="20" spans="1:32" x14ac:dyDescent="0.3">
      <c r="A20" s="1" t="s">
        <v>1</v>
      </c>
      <c r="B20" s="1" t="s">
        <v>0</v>
      </c>
      <c r="D20" s="1" t="s">
        <v>1</v>
      </c>
      <c r="E20" s="1" t="s">
        <v>0</v>
      </c>
      <c r="G20" s="1" t="s">
        <v>1</v>
      </c>
      <c r="H20" s="1" t="s">
        <v>0</v>
      </c>
      <c r="J20" s="1" t="s">
        <v>1</v>
      </c>
      <c r="K20" s="1" t="s">
        <v>0</v>
      </c>
      <c r="M20" s="1" t="s">
        <v>1</v>
      </c>
      <c r="N20" s="1" t="s">
        <v>0</v>
      </c>
      <c r="S20" s="1" t="s">
        <v>1</v>
      </c>
      <c r="T20" s="1" t="s">
        <v>0</v>
      </c>
      <c r="V20" s="1" t="s">
        <v>1</v>
      </c>
      <c r="W20" s="1" t="s">
        <v>0</v>
      </c>
      <c r="Y20" s="1" t="s">
        <v>1</v>
      </c>
      <c r="Z20" s="1" t="s">
        <v>0</v>
      </c>
      <c r="AB20" s="1" t="s">
        <v>1</v>
      </c>
      <c r="AC20" s="1" t="s">
        <v>0</v>
      </c>
      <c r="AE20" s="1" t="s">
        <v>1</v>
      </c>
      <c r="AF20" s="1" t="s">
        <v>0</v>
      </c>
    </row>
    <row r="21" spans="1:32" x14ac:dyDescent="0.3">
      <c r="A21" s="4">
        <f>1629135330.37846-1629135330.31371</f>
        <v>6.4749956130981445E-2</v>
      </c>
      <c r="B21" s="3">
        <f>A21*1000</f>
        <v>64.749956130981445</v>
      </c>
      <c r="D21" s="4">
        <f>1629135330.37823-1629135330.31371</f>
        <v>6.4520120620727539E-2</v>
      </c>
      <c r="E21" s="3">
        <f>D21*1000</f>
        <v>64.520120620727539</v>
      </c>
      <c r="G21" s="4">
        <f>1629135330.37787-1629135330.31371</f>
        <v>6.416010856628418E-2</v>
      </c>
      <c r="H21" s="3">
        <f>G21*1000</f>
        <v>64.16010856628418</v>
      </c>
      <c r="J21" s="4">
        <f>1629135330.37779-1629135330.31371</f>
        <v>6.4079999923706055E-2</v>
      </c>
      <c r="K21" s="3">
        <f>J21*1000</f>
        <v>64.079999923706055</v>
      </c>
      <c r="M21" s="4">
        <f>1629135330.37779-1629135330.31371</f>
        <v>6.4079999923706055E-2</v>
      </c>
      <c r="N21" s="3">
        <f>M21*1000</f>
        <v>64.079999923706055</v>
      </c>
      <c r="S21" s="4">
        <f>1629135176.92843-1629135176.85131</f>
        <v>7.7120065689086914E-2</v>
      </c>
      <c r="T21" s="3">
        <f>S21*1000</f>
        <v>77.120065689086914</v>
      </c>
      <c r="V21" s="4">
        <f>1629135176.92936-1629135176.85131</f>
        <v>7.8049898147583008E-2</v>
      </c>
      <c r="W21" s="3">
        <f>V21*1000</f>
        <v>78.049898147583008</v>
      </c>
      <c r="Y21" s="4">
        <f>1629135176.92911-1629135176.85131</f>
        <v>7.780003547668457E-2</v>
      </c>
      <c r="Z21" s="3">
        <f>Y21*1000</f>
        <v>77.80003547668457</v>
      </c>
      <c r="AB21" s="4">
        <f>1629135176.92841-1629135176.85131</f>
        <v>7.7100038528442383E-2</v>
      </c>
      <c r="AC21" s="3">
        <f>AB21*1000</f>
        <v>77.100038528442383</v>
      </c>
      <c r="AE21" s="4">
        <f>1629135176.9286-1629135176.85131</f>
        <v>7.7290058135986328E-2</v>
      </c>
      <c r="AF21" s="3">
        <f>AE21*1000</f>
        <v>77.290058135986328</v>
      </c>
    </row>
    <row r="22" spans="1:32" x14ac:dyDescent="0.3">
      <c r="A22" s="4">
        <f>1629135331.44979-1629135331.3861</f>
        <v>6.3689947128295898E-2</v>
      </c>
      <c r="B22" s="3">
        <f t="shared" ref="B22:B30" si="4">A22*1000</f>
        <v>63.689947128295898</v>
      </c>
      <c r="D22" s="4">
        <f>1629135331.45035-1629135331.3861</f>
        <v>6.4249992370605469E-2</v>
      </c>
      <c r="E22" s="3">
        <f t="shared" ref="E22:E30" si="5">D22*1000</f>
        <v>64.249992370605469</v>
      </c>
      <c r="G22" s="4">
        <f>1629135331.45059-1629135331.3861</f>
        <v>6.4489841461181641E-2</v>
      </c>
      <c r="H22" s="3">
        <f t="shared" ref="H22:H30" si="6">G22*1000</f>
        <v>64.489841461181641</v>
      </c>
      <c r="J22" s="4">
        <f>1629135331.44971-1629135331.3861</f>
        <v>6.3609838485717773E-2</v>
      </c>
      <c r="K22" s="3">
        <f t="shared" ref="K22:K30" si="7">J22*1000</f>
        <v>63.609838485717773</v>
      </c>
      <c r="M22" s="4">
        <f>1629135331.44971-1629135331.3861</f>
        <v>6.3609838485717773E-2</v>
      </c>
      <c r="N22" s="3">
        <f t="shared" ref="N22:N30" si="8">M22*1000</f>
        <v>63.609838485717773</v>
      </c>
      <c r="S22" s="4">
        <f>1629135178.00092-1629135177.92672</f>
        <v>7.4200153350830078E-2</v>
      </c>
      <c r="T22" s="3">
        <f t="shared" ref="T22:T30" si="9">S22*1000</f>
        <v>74.200153350830078</v>
      </c>
      <c r="V22" s="4">
        <f>1629135178.0007-1629135177.92672</f>
        <v>7.3980093002319336E-2</v>
      </c>
      <c r="W22" s="3">
        <f t="shared" ref="W22:W30" si="10">V22*1000</f>
        <v>73.980093002319336</v>
      </c>
      <c r="Y22" s="4">
        <f>1629135178.00132-1629135177.92672</f>
        <v>7.4599981307983398E-2</v>
      </c>
      <c r="Z22" s="3">
        <f t="shared" ref="Z22:Z30" si="11">Y22*1000</f>
        <v>74.599981307983398</v>
      </c>
      <c r="AB22" s="4">
        <f>1629135178.00023-1629135177.92672</f>
        <v>7.3510169982910156E-2</v>
      </c>
      <c r="AC22" s="3">
        <f t="shared" ref="AC22:AC30" si="12">AB22*1000</f>
        <v>73.510169982910156</v>
      </c>
      <c r="AE22" s="4">
        <f>1629135178.00046-1629135177.92672</f>
        <v>7.3740005493164063E-2</v>
      </c>
      <c r="AF22" s="3">
        <f t="shared" ref="AF22:AF30" si="13">AE22*1000</f>
        <v>73.740005493164063</v>
      </c>
    </row>
    <row r="23" spans="1:32" x14ac:dyDescent="0.3">
      <c r="A23" s="4">
        <f>1629135332.52174-1629135332.45751</f>
        <v>6.4229965209960938E-2</v>
      </c>
      <c r="B23" s="3">
        <f t="shared" si="4"/>
        <v>64.229965209960938</v>
      </c>
      <c r="D23" s="4">
        <f>1629135332.52223-1629135332.45751</f>
        <v>6.4719915390014648E-2</v>
      </c>
      <c r="E23" s="3">
        <f t="shared" si="5"/>
        <v>64.719915390014648</v>
      </c>
      <c r="G23" s="4">
        <f>1629135332.52247-1629135332.45751</f>
        <v>6.4960002899169922E-2</v>
      </c>
      <c r="H23" s="3">
        <f t="shared" si="6"/>
        <v>64.960002899169922</v>
      </c>
      <c r="J23" s="4">
        <f>1629135332.52166-1629135332.45751</f>
        <v>6.4150094985961914E-2</v>
      </c>
      <c r="K23" s="3">
        <f t="shared" si="7"/>
        <v>64.150094985961914</v>
      </c>
      <c r="M23" s="4">
        <f>1629135332.52168-1629135332.45751</f>
        <v>6.4170122146606445E-2</v>
      </c>
      <c r="N23" s="3">
        <f t="shared" si="8"/>
        <v>64.170122146606445</v>
      </c>
      <c r="S23" s="4">
        <f>1629135179.07218-1629135178.99826</f>
        <v>7.3920011520385742E-2</v>
      </c>
      <c r="T23" s="3">
        <f t="shared" si="9"/>
        <v>73.920011520385742</v>
      </c>
      <c r="V23" s="4">
        <f>1629135179.07298-1629135178.99826</f>
        <v>7.4719905853271484E-2</v>
      </c>
      <c r="W23" s="3">
        <f t="shared" si="10"/>
        <v>74.719905853271484</v>
      </c>
      <c r="Y23" s="4">
        <f>1629135179.07325-1629135178.99826</f>
        <v>7.4990034103393555E-2</v>
      </c>
      <c r="Z23" s="3">
        <f t="shared" si="11"/>
        <v>74.990034103393555</v>
      </c>
      <c r="AB23" s="4">
        <f>1629135179.07228-1629135178.99826</f>
        <v>7.4019908905029297E-2</v>
      </c>
      <c r="AC23" s="3">
        <f t="shared" si="12"/>
        <v>74.019908905029297</v>
      </c>
      <c r="AE23" s="4">
        <f>1629135179.07246-1629135178.99826</f>
        <v>7.4199914932250977E-2</v>
      </c>
      <c r="AF23" s="3">
        <f t="shared" si="13"/>
        <v>74.199914932250977</v>
      </c>
    </row>
    <row r="24" spans="1:32" x14ac:dyDescent="0.3">
      <c r="A24" s="4">
        <f>1629135333.59364-1629135333.5298</f>
        <v>6.3840150833129883E-2</v>
      </c>
      <c r="B24" s="3">
        <f t="shared" si="4"/>
        <v>63.840150833129883</v>
      </c>
      <c r="D24" s="4">
        <f>1629135333.59431-1629135333.5298</f>
        <v>6.4510107040405273E-2</v>
      </c>
      <c r="E24" s="3">
        <f t="shared" si="5"/>
        <v>64.510107040405273</v>
      </c>
      <c r="G24" s="4">
        <f>1629135333.59364-1629135333.5298</f>
        <v>6.3840150833129883E-2</v>
      </c>
      <c r="H24" s="3">
        <f t="shared" si="6"/>
        <v>63.840150833129883</v>
      </c>
      <c r="J24" s="4">
        <f>1629135333.59377-1629135333.5298</f>
        <v>6.3970088958740234E-2</v>
      </c>
      <c r="K24" s="3">
        <f t="shared" si="7"/>
        <v>63.970088958740234</v>
      </c>
      <c r="M24" s="4">
        <f>1629135333.59364-1629135333.5298</f>
        <v>6.3840150833129883E-2</v>
      </c>
      <c r="N24" s="3">
        <f t="shared" si="8"/>
        <v>63.840150833129883</v>
      </c>
      <c r="S24" s="4">
        <f>1629135180.14426-1629135180.07056</f>
        <v>7.3699951171875E-2</v>
      </c>
      <c r="T24" s="3">
        <f t="shared" si="9"/>
        <v>73.699951171875</v>
      </c>
      <c r="V24" s="4">
        <f>1629135180.14492-1629135180.07056</f>
        <v>7.4360132217407227E-2</v>
      </c>
      <c r="W24" s="3">
        <f t="shared" si="10"/>
        <v>74.360132217407227</v>
      </c>
      <c r="Y24" s="4">
        <f>1629135180.14538-1629135180.07056</f>
        <v>7.4820041656494141E-2</v>
      </c>
      <c r="Z24" s="3">
        <f t="shared" si="11"/>
        <v>74.820041656494141</v>
      </c>
      <c r="AB24" s="4">
        <f>1629135180.14424-1629135180.07056</f>
        <v>7.3679924011230469E-2</v>
      </c>
      <c r="AC24" s="3">
        <f t="shared" si="12"/>
        <v>73.679924011230469</v>
      </c>
      <c r="AE24" s="4">
        <f>1629135180.14442-1629135180.07056</f>
        <v>7.3859930038452148E-2</v>
      </c>
      <c r="AF24" s="3">
        <f t="shared" si="13"/>
        <v>73.859930038452148</v>
      </c>
    </row>
    <row r="25" spans="1:32" x14ac:dyDescent="0.3">
      <c r="A25" s="4">
        <f>1629135334.66561-1629135334.60144</f>
        <v>6.4170122146606445E-2</v>
      </c>
      <c r="B25" s="3">
        <f t="shared" si="4"/>
        <v>64.170122146606445</v>
      </c>
      <c r="D25" s="4">
        <f>1629135334.66624-1629135334.60144</f>
        <v>6.4800024032592773E-2</v>
      </c>
      <c r="E25" s="3">
        <f t="shared" si="5"/>
        <v>64.800024032592773</v>
      </c>
      <c r="G25" s="4">
        <f>1629135334.66579-1629135334.60144</f>
        <v>6.4350128173828125E-2</v>
      </c>
      <c r="H25" s="3">
        <f t="shared" si="6"/>
        <v>64.350128173828125</v>
      </c>
      <c r="J25" s="4">
        <f>1629135334.66561-1629135334.60144</f>
        <v>6.4170122146606445E-2</v>
      </c>
      <c r="K25" s="3">
        <f t="shared" si="7"/>
        <v>64.170122146606445</v>
      </c>
      <c r="M25" s="4">
        <f>1629135334.66561-1629135334.60144</f>
        <v>6.4170122146606445E-2</v>
      </c>
      <c r="N25" s="3">
        <f t="shared" si="8"/>
        <v>64.170122146606445</v>
      </c>
      <c r="S25" s="4">
        <f>1629135181.21624-1629135181.14242</f>
        <v>7.3819875717163086E-2</v>
      </c>
      <c r="T25" s="3">
        <f t="shared" si="9"/>
        <v>73.819875717163086</v>
      </c>
      <c r="V25" s="4">
        <f>1629135181.21702-1629135181.14242</f>
        <v>7.4599981307983398E-2</v>
      </c>
      <c r="W25" s="3">
        <f t="shared" si="10"/>
        <v>74.599981307983398</v>
      </c>
      <c r="Y25" s="4">
        <f>1629135181.21744-1629135181.14242</f>
        <v>7.501983642578125E-2</v>
      </c>
      <c r="Z25" s="3">
        <f t="shared" si="11"/>
        <v>75.01983642578125</v>
      </c>
      <c r="AB25" s="4">
        <f>1629135181.21624-1629135181.14242</f>
        <v>7.3819875717163086E-2</v>
      </c>
      <c r="AC25" s="3">
        <f t="shared" si="12"/>
        <v>73.819875717163086</v>
      </c>
      <c r="AE25" s="4">
        <f>1629135181.21639-1629135181.14242</f>
        <v>7.3969841003417969E-2</v>
      </c>
      <c r="AF25" s="3">
        <f t="shared" si="13"/>
        <v>73.969841003417969</v>
      </c>
    </row>
    <row r="26" spans="1:32" x14ac:dyDescent="0.3">
      <c r="A26" s="4">
        <f>1629135335.73775-1629135335.67394</f>
        <v>6.3810110092163086E-2</v>
      </c>
      <c r="B26" s="3">
        <f t="shared" si="4"/>
        <v>63.810110092163086</v>
      </c>
      <c r="D26" s="4">
        <f>1629135335.73847-1629135335.67394</f>
        <v>6.4530134201049805E-2</v>
      </c>
      <c r="E26" s="3">
        <f t="shared" si="5"/>
        <v>64.530134201049805</v>
      </c>
      <c r="G26" s="4">
        <f>1629135335.73775-1629135335.67394</f>
        <v>6.3810110092163086E-2</v>
      </c>
      <c r="H26" s="3">
        <f t="shared" si="6"/>
        <v>63.810110092163086</v>
      </c>
      <c r="J26" s="4">
        <f>1629135335.73789-1629135335.67394</f>
        <v>6.3950061798095703E-2</v>
      </c>
      <c r="K26" s="3">
        <f t="shared" si="7"/>
        <v>63.950061798095703</v>
      </c>
      <c r="M26" s="4">
        <f>1629135335.73775-1629135335.67394</f>
        <v>6.3810110092163086E-2</v>
      </c>
      <c r="N26" s="3">
        <f t="shared" si="8"/>
        <v>63.810110092163086</v>
      </c>
      <c r="S26" s="4">
        <f>1629135182.28826-1629135182.21446</f>
        <v>7.3800086975097656E-2</v>
      </c>
      <c r="T26" s="3">
        <f t="shared" si="9"/>
        <v>73.800086975097656</v>
      </c>
      <c r="V26" s="4">
        <f>1629135182.28907-1629135182.21446</f>
        <v>7.4609994888305664E-2</v>
      </c>
      <c r="W26" s="3">
        <f t="shared" si="10"/>
        <v>74.609994888305664</v>
      </c>
      <c r="Y26" s="4">
        <f>1629135182.28961-1629135182.21446</f>
        <v>7.5150012969970703E-2</v>
      </c>
      <c r="Z26" s="3">
        <f t="shared" si="11"/>
        <v>75.150012969970703</v>
      </c>
      <c r="AB26" s="4">
        <f>1629135182.28827-1629135182.21446</f>
        <v>7.3810100555419922E-2</v>
      </c>
      <c r="AC26" s="3">
        <f t="shared" si="12"/>
        <v>73.810100555419922</v>
      </c>
      <c r="AE26" s="4">
        <f>1629135182.28842-1629135182.21446</f>
        <v>7.3960065841674805E-2</v>
      </c>
      <c r="AF26" s="3">
        <f t="shared" si="13"/>
        <v>73.960065841674805</v>
      </c>
    </row>
    <row r="27" spans="1:32" x14ac:dyDescent="0.3">
      <c r="A27" s="4">
        <f>1629135336.80974-1629135336.74598</f>
        <v>6.3760042190551758E-2</v>
      </c>
      <c r="B27" s="3">
        <f t="shared" si="4"/>
        <v>63.760042190551758</v>
      </c>
      <c r="D27" s="4">
        <f>1629135336.81035-1629135336.74598</f>
        <v>6.4369916915893555E-2</v>
      </c>
      <c r="E27" s="3">
        <f t="shared" si="5"/>
        <v>64.369916915893555</v>
      </c>
      <c r="G27" s="4">
        <f>1629135336.81029-1629135336.74598</f>
        <v>6.4310073852539063E-2</v>
      </c>
      <c r="H27" s="3">
        <f t="shared" si="6"/>
        <v>64.310073852539063</v>
      </c>
      <c r="J27" s="4">
        <f>1629135336.80963-1629135336.74598</f>
        <v>6.3649892807006836E-2</v>
      </c>
      <c r="K27" s="3">
        <f t="shared" si="7"/>
        <v>63.649892807006836</v>
      </c>
      <c r="M27" s="4">
        <f>1629135336.80963-1629135336.74598</f>
        <v>6.3649892807006836E-2</v>
      </c>
      <c r="N27" s="3">
        <f t="shared" si="8"/>
        <v>63.649892807006836</v>
      </c>
      <c r="S27" s="4">
        <f>1629135183.36029-1629135183.28589</f>
        <v>7.4399948120117188E-2</v>
      </c>
      <c r="T27" s="3">
        <f t="shared" si="9"/>
        <v>74.399948120117188</v>
      </c>
      <c r="V27" s="4">
        <f>1629135183.36094-1629135183.28589</f>
        <v>7.5049877166748047E-2</v>
      </c>
      <c r="W27" s="3">
        <f t="shared" si="10"/>
        <v>75.049877166748047</v>
      </c>
      <c r="Y27" s="4">
        <f>1629135183.36096-1629135183.28589</f>
        <v>7.5069904327392578E-2</v>
      </c>
      <c r="Z27" s="3">
        <f t="shared" si="11"/>
        <v>75.069904327392578</v>
      </c>
      <c r="AB27" s="4">
        <f>1629135183.36023-1629135183.28589</f>
        <v>7.4339866638183594E-2</v>
      </c>
      <c r="AC27" s="3">
        <f t="shared" si="12"/>
        <v>74.339866638183594</v>
      </c>
      <c r="AE27" s="4">
        <f>1629135183.3604-1629135183.28589</f>
        <v>7.4509859085083008E-2</v>
      </c>
      <c r="AF27" s="3">
        <f t="shared" si="13"/>
        <v>74.509859085083008</v>
      </c>
    </row>
    <row r="28" spans="1:32" x14ac:dyDescent="0.3">
      <c r="A28" s="4">
        <f>1629135337.88159-1629135337.81804</f>
        <v>6.3549995422363281E-2</v>
      </c>
      <c r="B28" s="3">
        <f t="shared" si="4"/>
        <v>63.549995422363281</v>
      </c>
      <c r="D28" s="4">
        <f>1629135337.88216-1629135337.81804</f>
        <v>6.4120054244995117E-2</v>
      </c>
      <c r="E28" s="3">
        <f t="shared" si="5"/>
        <v>64.120054244995117</v>
      </c>
      <c r="G28" s="4">
        <f>1629135337.88159-1629135337.81804</f>
        <v>6.3549995422363281E-2</v>
      </c>
      <c r="H28" s="3">
        <f t="shared" si="6"/>
        <v>63.549995422363281</v>
      </c>
      <c r="J28" s="4">
        <f>1629135337.88171-1629135337.81804</f>
        <v>6.3670158386230469E-2</v>
      </c>
      <c r="K28" s="3">
        <f t="shared" si="7"/>
        <v>63.670158386230469</v>
      </c>
      <c r="M28" s="4">
        <f>1629135337.88224-1629135337.81804</f>
        <v>6.4200162887573242E-2</v>
      </c>
      <c r="N28" s="3">
        <f t="shared" si="8"/>
        <v>64.200162887573242</v>
      </c>
      <c r="S28" s="4">
        <f>1629135184.43231-1629135184.35837</f>
        <v>7.3940038681030273E-2</v>
      </c>
      <c r="T28" s="3">
        <f t="shared" si="9"/>
        <v>73.940038681030273</v>
      </c>
      <c r="V28" s="4">
        <f>1629135184.43302-1629135184.35837</f>
        <v>7.4650049209594727E-2</v>
      </c>
      <c r="W28" s="3">
        <f t="shared" si="10"/>
        <v>74.650049209594727</v>
      </c>
      <c r="Y28" s="4">
        <f>1629135184.43309-1629135184.35837</f>
        <v>7.4719905853271484E-2</v>
      </c>
      <c r="Z28" s="3">
        <f t="shared" si="11"/>
        <v>74.719905853271484</v>
      </c>
      <c r="AB28" s="4">
        <f>1629135184.43235-1629135184.35837</f>
        <v>7.3979854583740234E-2</v>
      </c>
      <c r="AC28" s="3">
        <f t="shared" si="12"/>
        <v>73.979854583740234</v>
      </c>
      <c r="AE28" s="4">
        <f>1629135184.43241-1629135184.35837</f>
        <v>7.4039936065673828E-2</v>
      </c>
      <c r="AF28" s="3">
        <f t="shared" si="13"/>
        <v>74.039936065673828</v>
      </c>
    </row>
    <row r="29" spans="1:32" x14ac:dyDescent="0.3">
      <c r="A29" s="4">
        <f>1629135338.95776-1629135338.88999</f>
        <v>6.7770004272460938E-2</v>
      </c>
      <c r="B29" s="3">
        <f t="shared" si="4"/>
        <v>67.770004272460938</v>
      </c>
      <c r="D29" s="4">
        <f>1629135338.95832-1629135338.88999</f>
        <v>6.8329811096191406E-2</v>
      </c>
      <c r="E29" s="3">
        <f t="shared" si="5"/>
        <v>68.329811096191406</v>
      </c>
      <c r="G29" s="4">
        <f>1629135338.95765-1629135338.88999</f>
        <v>6.7659854888916016E-2</v>
      </c>
      <c r="H29" s="3">
        <f t="shared" si="6"/>
        <v>67.659854888916016</v>
      </c>
      <c r="J29" s="4">
        <f>1629135338.95765-1629135338.88999</f>
        <v>6.7659854888916016E-2</v>
      </c>
      <c r="K29" s="3">
        <f t="shared" si="7"/>
        <v>67.659854888916016</v>
      </c>
      <c r="M29" s="4">
        <f>1629135338.95824-1629135338.88999</f>
        <v>6.8249940872192383E-2</v>
      </c>
      <c r="N29" s="3">
        <f t="shared" si="8"/>
        <v>68.249940872192383</v>
      </c>
      <c r="S29" s="4">
        <f>1629135185.50419-1629135185.43034</f>
        <v>7.3849916458129883E-2</v>
      </c>
      <c r="T29" s="3">
        <f t="shared" si="9"/>
        <v>73.849916458129883</v>
      </c>
      <c r="V29" s="4">
        <f>1629135185.50483-1629135185.43034</f>
        <v>7.4489831924438477E-2</v>
      </c>
      <c r="W29" s="3">
        <f t="shared" si="10"/>
        <v>74.489831924438477</v>
      </c>
      <c r="Y29" s="4">
        <f>1629135185.5049-1629135185.43034</f>
        <v>7.4559926986694336E-2</v>
      </c>
      <c r="Z29" s="3">
        <f t="shared" si="11"/>
        <v>74.559926986694336</v>
      </c>
      <c r="AB29" s="4">
        <f>1629135185.50422-1629135185.43034</f>
        <v>7.387995719909668E-2</v>
      </c>
      <c r="AC29" s="3">
        <f t="shared" si="12"/>
        <v>73.87995719909668</v>
      </c>
      <c r="AE29" s="4">
        <f>1629135185.5043-1629135185.43034</f>
        <v>7.3960065841674805E-2</v>
      </c>
      <c r="AF29" s="3">
        <f t="shared" si="13"/>
        <v>73.960065841674805</v>
      </c>
    </row>
    <row r="30" spans="1:32" x14ac:dyDescent="0.3">
      <c r="A30" s="4">
        <f>1629135340.02557-1629135339.9655</f>
        <v>6.0069799423217773E-2</v>
      </c>
      <c r="B30" s="3">
        <f t="shared" si="4"/>
        <v>60.069799423217773</v>
      </c>
      <c r="D30" s="4">
        <f>1629135340.02944-1629135339.9655</f>
        <v>6.3939809799194336E-2</v>
      </c>
      <c r="E30" s="3">
        <f t="shared" si="5"/>
        <v>63.939809799194336</v>
      </c>
      <c r="G30" s="4">
        <f>1629135340.02557-1629135339.9655</f>
        <v>6.0069799423217773E-2</v>
      </c>
      <c r="H30" s="3">
        <f t="shared" si="6"/>
        <v>60.069799423217773</v>
      </c>
      <c r="J30" s="4">
        <f>1629135340.02568-1629135339.9655</f>
        <v>6.0179948806762695E-2</v>
      </c>
      <c r="K30" s="3">
        <f t="shared" si="7"/>
        <v>60.179948806762695</v>
      </c>
      <c r="M30" s="4">
        <f>1629135340.028-1629135339.9655</f>
        <v>6.25E-2</v>
      </c>
      <c r="N30" s="3">
        <f t="shared" si="8"/>
        <v>62.5</v>
      </c>
      <c r="S30" s="4">
        <f>1629135186.57625-1629135186.50223</f>
        <v>7.4020147323608398E-2</v>
      </c>
      <c r="T30" s="3">
        <f t="shared" si="9"/>
        <v>74.020147323608398</v>
      </c>
      <c r="V30" s="4">
        <f>1629135186.57959-1629135186.50223</f>
        <v>7.7360153198242188E-2</v>
      </c>
      <c r="W30" s="3">
        <f t="shared" si="10"/>
        <v>77.360153198242188</v>
      </c>
      <c r="Y30" s="4">
        <f>1629135186.58198-1629135186.50223</f>
        <v>7.975006103515625E-2</v>
      </c>
      <c r="Z30" s="3">
        <f t="shared" si="11"/>
        <v>79.75006103515625</v>
      </c>
      <c r="AB30" s="4">
        <f>1629135186.57619-1629135186.50223</f>
        <v>7.3960065841674805E-2</v>
      </c>
      <c r="AC30" s="3">
        <f t="shared" si="12"/>
        <v>73.960065841674805</v>
      </c>
      <c r="AE30" s="4">
        <f>1629135186.57631-1629135186.50223</f>
        <v>7.4079990386962891E-2</v>
      </c>
      <c r="AF30" s="3">
        <f t="shared" si="13"/>
        <v>74.079990386962891</v>
      </c>
    </row>
    <row r="31" spans="1:32" x14ac:dyDescent="0.3">
      <c r="B31" s="2">
        <f>AVERAGE(B21:B30)</f>
        <v>63.964009284973145</v>
      </c>
      <c r="E31" s="2">
        <f>AVERAGE(E21:E30)</f>
        <v>64.808988571166992</v>
      </c>
      <c r="H31" s="2">
        <f>AVERAGE(H21:H30)</f>
        <v>64.120006561279297</v>
      </c>
      <c r="K31" s="2">
        <f>AVERAGE(K21:K30)</f>
        <v>63.909006118774414</v>
      </c>
      <c r="N31" s="2">
        <f>AVERAGE(N21:N30)</f>
        <v>64.228034019470215</v>
      </c>
      <c r="T31" s="2">
        <f>AVERAGE(T21:T30)</f>
        <v>74.277019500732422</v>
      </c>
      <c r="W31" s="2">
        <f>AVERAGE(W21:W30)</f>
        <v>75.186991691589355</v>
      </c>
      <c r="Z31" s="2">
        <f>AVERAGE(Z21:Z30)</f>
        <v>75.647974014282227</v>
      </c>
      <c r="AC31" s="2">
        <f>AVERAGE(AC21:AC30)</f>
        <v>74.209976196289063</v>
      </c>
      <c r="AF31" s="2">
        <f>AVERAGE(AF21:AF30)</f>
        <v>74.360966682434082</v>
      </c>
    </row>
    <row r="33" spans="1:32" x14ac:dyDescent="0.3">
      <c r="A33" s="6" t="s">
        <v>18</v>
      </c>
      <c r="B33" s="6"/>
      <c r="D33" s="6" t="s">
        <v>19</v>
      </c>
      <c r="E33" s="6"/>
      <c r="G33" s="6" t="s">
        <v>20</v>
      </c>
      <c r="H33" s="6"/>
      <c r="J33" s="6" t="s">
        <v>21</v>
      </c>
      <c r="K33" s="6"/>
      <c r="M33" s="6" t="s">
        <v>17</v>
      </c>
      <c r="N33" s="6"/>
      <c r="S33" s="6" t="s">
        <v>18</v>
      </c>
      <c r="T33" s="6"/>
      <c r="V33" s="6" t="s">
        <v>19</v>
      </c>
      <c r="W33" s="6"/>
      <c r="Y33" s="6" t="s">
        <v>20</v>
      </c>
      <c r="Z33" s="6"/>
      <c r="AB33" s="6" t="s">
        <v>21</v>
      </c>
      <c r="AC33" s="6"/>
      <c r="AE33" s="6" t="s">
        <v>17</v>
      </c>
      <c r="AF33" s="6"/>
    </row>
    <row r="34" spans="1:32" ht="45" customHeight="1" x14ac:dyDescent="0.3">
      <c r="A34" s="8" t="s">
        <v>62</v>
      </c>
      <c r="B34" s="8"/>
      <c r="D34" s="8" t="s">
        <v>62</v>
      </c>
      <c r="E34" s="8"/>
      <c r="G34" s="8" t="s">
        <v>62</v>
      </c>
      <c r="H34" s="8"/>
      <c r="J34" s="8" t="s">
        <v>62</v>
      </c>
      <c r="K34" s="8"/>
      <c r="M34" s="8" t="s">
        <v>62</v>
      </c>
      <c r="N34" s="8"/>
      <c r="S34" s="8" t="s">
        <v>63</v>
      </c>
      <c r="T34" s="8"/>
      <c r="V34" s="8" t="s">
        <v>63</v>
      </c>
      <c r="W34" s="8"/>
      <c r="Y34" s="8" t="s">
        <v>63</v>
      </c>
      <c r="Z34" s="8"/>
      <c r="AB34" s="8" t="s">
        <v>63</v>
      </c>
      <c r="AC34" s="8"/>
      <c r="AE34" s="8" t="s">
        <v>63</v>
      </c>
      <c r="AF34" s="8"/>
    </row>
    <row r="35" spans="1:32" x14ac:dyDescent="0.3">
      <c r="A35" s="1" t="s">
        <v>1</v>
      </c>
      <c r="B35" s="1" t="s">
        <v>0</v>
      </c>
      <c r="D35" s="1" t="s">
        <v>1</v>
      </c>
      <c r="E35" s="1" t="s">
        <v>0</v>
      </c>
      <c r="G35" s="1" t="s">
        <v>1</v>
      </c>
      <c r="H35" s="1" t="s">
        <v>0</v>
      </c>
      <c r="J35" s="1" t="s">
        <v>1</v>
      </c>
      <c r="K35" s="1" t="s">
        <v>0</v>
      </c>
      <c r="M35" s="1" t="s">
        <v>1</v>
      </c>
      <c r="N35" s="1" t="s">
        <v>0</v>
      </c>
      <c r="S35" s="1" t="s">
        <v>1</v>
      </c>
      <c r="T35" s="1" t="s">
        <v>0</v>
      </c>
      <c r="V35" s="1" t="s">
        <v>1</v>
      </c>
      <c r="W35" s="1" t="s">
        <v>0</v>
      </c>
      <c r="Y35" s="1" t="s">
        <v>1</v>
      </c>
      <c r="Z35" s="1" t="s">
        <v>0</v>
      </c>
      <c r="AB35" s="1" t="s">
        <v>1</v>
      </c>
      <c r="AC35" s="1" t="s">
        <v>0</v>
      </c>
      <c r="AE35" s="1" t="s">
        <v>1</v>
      </c>
      <c r="AF35" s="1" t="s">
        <v>0</v>
      </c>
    </row>
    <row r="36" spans="1:32" x14ac:dyDescent="0.3">
      <c r="A36" s="4">
        <f>1629135330.38051-1629135330.31371</f>
        <v>6.6800117492675781E-2</v>
      </c>
      <c r="B36" s="3">
        <f>A36*1000</f>
        <v>66.800117492675781</v>
      </c>
      <c r="D36" s="4">
        <f>1629135330.38059-1629135330.31371</f>
        <v>6.6879987716674805E-2</v>
      </c>
      <c r="E36" s="3">
        <f>D36*1000</f>
        <v>66.879987716674805</v>
      </c>
      <c r="G36" s="4">
        <f>1629135330.38051-1629135330.31371</f>
        <v>6.6800117492675781E-2</v>
      </c>
      <c r="H36" s="3">
        <f>G36*1000</f>
        <v>66.800117492675781</v>
      </c>
      <c r="J36" s="4">
        <f>1629135330.38134-1629135330.31371</f>
        <v>6.763005256652832E-2</v>
      </c>
      <c r="K36" s="3">
        <f>J36*1000</f>
        <v>67.63005256652832</v>
      </c>
      <c r="M36" s="4">
        <f>1629135330.38106-1629135330.31371</f>
        <v>6.7349910736083984E-2</v>
      </c>
      <c r="N36" s="3">
        <f>M36*1000</f>
        <v>67.349910736083984</v>
      </c>
      <c r="S36" s="4">
        <f>1629135176.92347-1629135176.85131</f>
        <v>7.2160005569458008E-2</v>
      </c>
      <c r="T36" s="3">
        <f>S36*1000</f>
        <v>72.160005569458008</v>
      </c>
      <c r="V36" s="4">
        <f>1629135176.92414-1629135176.85131</f>
        <v>7.2829961776733398E-2</v>
      </c>
      <c r="W36" s="3">
        <f>V36*1000</f>
        <v>72.829961776733398</v>
      </c>
      <c r="Y36" s="4">
        <f>1629135176.92437-1629135176.85131</f>
        <v>7.3060035705566406E-2</v>
      </c>
      <c r="Z36" s="3">
        <f>Y36*1000</f>
        <v>73.060035705566406</v>
      </c>
      <c r="AB36" s="4">
        <f>1629135176.92363-1629135176.85131</f>
        <v>7.2319984436035156E-2</v>
      </c>
      <c r="AC36" s="3">
        <f>AB36*1000</f>
        <v>72.319984436035156</v>
      </c>
      <c r="AE36" s="4">
        <f>1629135176.92353-1629135176.85131</f>
        <v>7.2220087051391602E-2</v>
      </c>
      <c r="AF36" s="3">
        <f>AE36*1000</f>
        <v>72.220087051391602</v>
      </c>
    </row>
    <row r="37" spans="1:32" x14ac:dyDescent="0.3">
      <c r="A37" s="4">
        <f>1629135331.4525-1629135331.3861</f>
        <v>6.6400051116943359E-2</v>
      </c>
      <c r="B37" s="3">
        <f t="shared" ref="B37:B45" si="14">A37*1000</f>
        <v>66.400051116943359</v>
      </c>
      <c r="D37" s="4">
        <f>1629135331.4524-1629135331.3861</f>
        <v>6.6299915313720703E-2</v>
      </c>
      <c r="E37" s="3">
        <f t="shared" ref="E37:E45" si="15">D37*1000</f>
        <v>66.299915313720703</v>
      </c>
      <c r="G37" s="4">
        <f>1629135331.4524-1629135331.3861</f>
        <v>6.6299915313720703E-2</v>
      </c>
      <c r="H37" s="3">
        <f t="shared" ref="H37:H45" si="16">G37*1000</f>
        <v>66.299915313720703</v>
      </c>
      <c r="J37" s="4">
        <f>1629135331.45302-1629135331.3861</f>
        <v>6.6920042037963867E-2</v>
      </c>
      <c r="K37" s="3">
        <f t="shared" ref="K37:K45" si="17">J37*1000</f>
        <v>66.920042037963867</v>
      </c>
      <c r="M37" s="4">
        <f>1629135331.45327-1629135331.3861</f>
        <v>6.7169904708862305E-2</v>
      </c>
      <c r="N37" s="3">
        <f t="shared" ref="N37:N45" si="18">M37*1000</f>
        <v>67.169904708862305</v>
      </c>
      <c r="S37" s="4">
        <f>1629135177.99529-1629135177.92672</f>
        <v>6.8570137023925781E-2</v>
      </c>
      <c r="T37" s="3">
        <f t="shared" ref="T37:T45" si="19">S37*1000</f>
        <v>68.570137023925781</v>
      </c>
      <c r="V37" s="4">
        <f>1629135177.99637-1629135177.92672</f>
        <v>6.9650173187255859E-2</v>
      </c>
      <c r="W37" s="3">
        <f t="shared" ref="W37:W45" si="20">V37*1000</f>
        <v>69.650173187255859</v>
      </c>
      <c r="Y37" s="4">
        <f>1629135177.99603-1629135177.92672</f>
        <v>6.9310188293457031E-2</v>
      </c>
      <c r="Z37" s="3">
        <f t="shared" ref="Z37:Z45" si="21">Y37*1000</f>
        <v>69.310188293457031</v>
      </c>
      <c r="AB37" s="4">
        <f>1629135177.99548-1629135177.92672</f>
        <v>6.8760156631469727E-2</v>
      </c>
      <c r="AC37" s="3">
        <f t="shared" ref="AC37:AC45" si="22">AB37*1000</f>
        <v>68.760156631469727</v>
      </c>
      <c r="AE37" s="4">
        <f>1629135177.99536-1629135177.92672</f>
        <v>6.8639993667602539E-2</v>
      </c>
      <c r="AF37" s="3">
        <f t="shared" ref="AF37:AF45" si="23">AE37*1000</f>
        <v>68.639993667602539</v>
      </c>
    </row>
    <row r="38" spans="1:32" x14ac:dyDescent="0.3">
      <c r="A38" s="4">
        <f>1629135332.52445-1629135332.45751</f>
        <v>6.6940069198608398E-2</v>
      </c>
      <c r="B38" s="3">
        <f t="shared" si="14"/>
        <v>66.940069198608398</v>
      </c>
      <c r="D38" s="4">
        <f>1629135332.52437-1629135332.45751</f>
        <v>6.6859960556030273E-2</v>
      </c>
      <c r="E38" s="3">
        <f t="shared" si="15"/>
        <v>66.859960556030273</v>
      </c>
      <c r="G38" s="4">
        <f>1629135332.52437-1629135332.45751</f>
        <v>6.6859960556030273E-2</v>
      </c>
      <c r="H38" s="3">
        <f t="shared" si="16"/>
        <v>66.859960556030273</v>
      </c>
      <c r="J38" s="4">
        <f>1629135332.52497-1629135332.45751</f>
        <v>6.7460060119628906E-2</v>
      </c>
      <c r="K38" s="3">
        <f t="shared" si="17"/>
        <v>67.460060119628906</v>
      </c>
      <c r="M38" s="4">
        <f>1629135332.52494-1629135332.45751</f>
        <v>6.7430019378662109E-2</v>
      </c>
      <c r="N38" s="3">
        <f t="shared" si="18"/>
        <v>67.430019378662109</v>
      </c>
      <c r="S38" s="4">
        <f>1629135179.06728-1629135178.99826</f>
        <v>6.902003288269043E-2</v>
      </c>
      <c r="T38" s="3">
        <f t="shared" si="19"/>
        <v>69.02003288269043</v>
      </c>
      <c r="V38" s="4">
        <f>1629135179.06848-1629135178.99826</f>
        <v>7.0219993591308594E-2</v>
      </c>
      <c r="W38" s="3">
        <f t="shared" si="20"/>
        <v>70.219993591308594</v>
      </c>
      <c r="Y38" s="4">
        <f>1629135179.06816-1629135178.99826</f>
        <v>6.9900035858154297E-2</v>
      </c>
      <c r="Z38" s="3">
        <f t="shared" si="21"/>
        <v>69.900035858154297</v>
      </c>
      <c r="AB38" s="4">
        <f>1629135179.06747-1629135178.99826</f>
        <v>6.9210052490234375E-2</v>
      </c>
      <c r="AC38" s="3">
        <f t="shared" si="22"/>
        <v>69.210052490234375</v>
      </c>
      <c r="AE38" s="4">
        <f>1629135179.06735-1629135178.99826</f>
        <v>6.9089889526367188E-2</v>
      </c>
      <c r="AF38" s="3">
        <f t="shared" si="23"/>
        <v>69.089889526367188</v>
      </c>
    </row>
    <row r="39" spans="1:32" x14ac:dyDescent="0.3">
      <c r="A39" s="4">
        <f>1629135333.59647-1629135333.5298</f>
        <v>6.667017936706543E-2</v>
      </c>
      <c r="B39" s="3">
        <f t="shared" si="14"/>
        <v>66.67017936706543</v>
      </c>
      <c r="D39" s="4">
        <f>1629135333.59634-1629135333.5298</f>
        <v>6.6540002822875977E-2</v>
      </c>
      <c r="E39" s="3">
        <f t="shared" si="15"/>
        <v>66.540002822875977</v>
      </c>
      <c r="G39" s="4">
        <f>1629135333.59634-1629135333.5298</f>
        <v>6.6540002822875977E-2</v>
      </c>
      <c r="H39" s="3">
        <f t="shared" si="16"/>
        <v>66.540002822875977</v>
      </c>
      <c r="J39" s="4">
        <f>1629135333.59701-1629135333.5298</f>
        <v>6.7209959030151367E-2</v>
      </c>
      <c r="K39" s="3">
        <f t="shared" si="17"/>
        <v>67.209959030151367</v>
      </c>
      <c r="M39" s="4">
        <f>1629135333.59634-1629135333.5298</f>
        <v>6.6540002822875977E-2</v>
      </c>
      <c r="N39" s="3">
        <f t="shared" si="18"/>
        <v>66.540002822875977</v>
      </c>
      <c r="S39" s="4">
        <f>1629135180.13928-1629135180.07056</f>
        <v>6.8720102310180664E-2</v>
      </c>
      <c r="T39" s="3">
        <f t="shared" si="19"/>
        <v>68.720102310180664</v>
      </c>
      <c r="V39" s="4">
        <f>1629135180.1401-1629135180.07056</f>
        <v>6.9540023803710938E-2</v>
      </c>
      <c r="W39" s="3">
        <f t="shared" si="20"/>
        <v>69.540023803710938</v>
      </c>
      <c r="Y39" s="4">
        <f>1629135180.13999-1629135180.07056</f>
        <v>6.9430112838745117E-2</v>
      </c>
      <c r="Z39" s="3">
        <f t="shared" si="21"/>
        <v>69.430112838745117</v>
      </c>
      <c r="AB39" s="4">
        <f>1629135180.13944-1629135180.07056</f>
        <v>6.8880081176757813E-2</v>
      </c>
      <c r="AC39" s="3">
        <f t="shared" si="22"/>
        <v>68.880081176757813</v>
      </c>
      <c r="AE39" s="4">
        <f>1629135180.13939-1629135180.07056</f>
        <v>6.8830013275146484E-2</v>
      </c>
      <c r="AF39" s="3">
        <f t="shared" si="23"/>
        <v>68.830013275146484</v>
      </c>
    </row>
    <row r="40" spans="1:32" x14ac:dyDescent="0.3">
      <c r="A40" s="4">
        <f>1629135334.66835-1629135334.60144</f>
        <v>6.6910028457641602E-2</v>
      </c>
      <c r="B40" s="3">
        <f t="shared" si="14"/>
        <v>66.910028457641602</v>
      </c>
      <c r="D40" s="4">
        <f>1629135334.66847-1629135334.60144</f>
        <v>6.7029953002929688E-2</v>
      </c>
      <c r="E40" s="3">
        <f t="shared" si="15"/>
        <v>67.029953002929688</v>
      </c>
      <c r="G40" s="4">
        <f>1629135334.66835-1629135334.60144</f>
        <v>6.6910028457641602E-2</v>
      </c>
      <c r="H40" s="3">
        <f t="shared" si="16"/>
        <v>66.910028457641602</v>
      </c>
      <c r="J40" s="4">
        <f>1629135334.66897-1629135334.60144</f>
        <v>6.7530155181884766E-2</v>
      </c>
      <c r="K40" s="3">
        <f t="shared" si="17"/>
        <v>67.530155181884766</v>
      </c>
      <c r="M40" s="4">
        <f>1629135334.66836-1629135334.60144</f>
        <v>6.6920042037963867E-2</v>
      </c>
      <c r="N40" s="3">
        <f t="shared" si="18"/>
        <v>66.920042037963867</v>
      </c>
      <c r="S40" s="4">
        <f>1629135181.21124-1629135181.14242</f>
        <v>6.8819999694824219E-2</v>
      </c>
      <c r="T40" s="3">
        <f t="shared" si="19"/>
        <v>68.819999694824219</v>
      </c>
      <c r="V40" s="4">
        <f>1629135181.212-1629135181.14242</f>
        <v>6.9579839706420898E-2</v>
      </c>
      <c r="W40" s="3">
        <f t="shared" si="20"/>
        <v>69.579839706420898</v>
      </c>
      <c r="Y40" s="4">
        <f>1629135181.21206-1629135181.14242</f>
        <v>6.9639921188354492E-2</v>
      </c>
      <c r="Z40" s="3">
        <f t="shared" si="21"/>
        <v>69.639921188354492</v>
      </c>
      <c r="AB40" s="4">
        <f>1629135181.2114-1629135181.14242</f>
        <v>6.8979978561401367E-2</v>
      </c>
      <c r="AC40" s="3">
        <f t="shared" si="22"/>
        <v>68.979978561401367</v>
      </c>
      <c r="AE40" s="4">
        <f>1629135181.21134-1629135181.14242</f>
        <v>6.8919897079467773E-2</v>
      </c>
      <c r="AF40" s="3">
        <f t="shared" si="23"/>
        <v>68.919897079467773</v>
      </c>
    </row>
    <row r="41" spans="1:32" x14ac:dyDescent="0.3">
      <c r="A41" s="4">
        <f>1629135335.74033-1629135335.67394</f>
        <v>6.6390037536621094E-2</v>
      </c>
      <c r="B41" s="3">
        <f t="shared" si="14"/>
        <v>66.390037536621094</v>
      </c>
      <c r="D41" s="4">
        <f>1629135335.74033-1629135335.67394</f>
        <v>6.6390037536621094E-2</v>
      </c>
      <c r="E41" s="3">
        <f t="shared" si="15"/>
        <v>66.390037536621094</v>
      </c>
      <c r="G41" s="4">
        <f>1629135335.74046-1629135335.67394</f>
        <v>6.6519975662231445E-2</v>
      </c>
      <c r="H41" s="3">
        <f t="shared" si="16"/>
        <v>66.519975662231445</v>
      </c>
      <c r="J41" s="4">
        <f>1629135335.74099-1629135335.67394</f>
        <v>6.7049980163574219E-2</v>
      </c>
      <c r="K41" s="3">
        <f t="shared" si="17"/>
        <v>67.049980163574219</v>
      </c>
      <c r="M41" s="4">
        <f>1629135335.74034-1629135335.67394</f>
        <v>6.6400051116943359E-2</v>
      </c>
      <c r="N41" s="3">
        <f t="shared" si="18"/>
        <v>66.400051116943359</v>
      </c>
      <c r="S41" s="4">
        <f>1629135182.2833-1629135182.21446</f>
        <v>6.884002685546875E-2</v>
      </c>
      <c r="T41" s="3">
        <f t="shared" si="19"/>
        <v>68.84002685546875</v>
      </c>
      <c r="V41" s="4">
        <f>1629135182.28471-1629135182.21446</f>
        <v>7.0250034332275391E-2</v>
      </c>
      <c r="W41" s="3">
        <f t="shared" si="20"/>
        <v>70.250034332275391</v>
      </c>
      <c r="Y41" s="4">
        <f>1629135182.28407-1629135182.21446</f>
        <v>6.9610118865966797E-2</v>
      </c>
      <c r="Z41" s="3">
        <f t="shared" si="21"/>
        <v>69.610118865966797</v>
      </c>
      <c r="AB41" s="4">
        <f>1629135182.28342-1629135182.21446</f>
        <v>6.8960189819335938E-2</v>
      </c>
      <c r="AC41" s="3">
        <f t="shared" si="22"/>
        <v>68.960189819335938</v>
      </c>
      <c r="AE41" s="4">
        <f>1629135182.28335-1629135182.21446</f>
        <v>6.8890094757080078E-2</v>
      </c>
      <c r="AF41" s="3">
        <f t="shared" si="23"/>
        <v>68.890094757080078</v>
      </c>
    </row>
    <row r="42" spans="1:32" x14ac:dyDescent="0.3">
      <c r="A42" s="4">
        <f>1629135336.81242-1629135336.74598</f>
        <v>6.643986701965332E-2</v>
      </c>
      <c r="B42" s="3">
        <f t="shared" si="14"/>
        <v>66.43986701965332</v>
      </c>
      <c r="D42" s="4">
        <f>1629135336.81242-1629135336.74598</f>
        <v>6.643986701965332E-2</v>
      </c>
      <c r="E42" s="3">
        <f t="shared" si="15"/>
        <v>66.43986701965332</v>
      </c>
      <c r="G42" s="4">
        <f>1629135336.81253-1629135336.74598</f>
        <v>6.6550016403198242E-2</v>
      </c>
      <c r="H42" s="3">
        <f t="shared" si="16"/>
        <v>66.550016403198242</v>
      </c>
      <c r="J42" s="4">
        <f>1629135336.81317-1629135336.74598</f>
        <v>6.7189931869506836E-2</v>
      </c>
      <c r="K42" s="3">
        <f t="shared" si="17"/>
        <v>67.189931869506836</v>
      </c>
      <c r="M42" s="4">
        <f>1629135336.81309-1629135336.74598</f>
        <v>6.7110061645507813E-2</v>
      </c>
      <c r="N42" s="3">
        <f t="shared" si="18"/>
        <v>67.110061645507813</v>
      </c>
      <c r="S42" s="4">
        <f>1629135183.35532-1629135183.28589</f>
        <v>6.9429874420166016E-2</v>
      </c>
      <c r="T42" s="3">
        <f t="shared" si="19"/>
        <v>69.429874420166016</v>
      </c>
      <c r="V42" s="4">
        <f>1629135183.3561-1629135183.28589</f>
        <v>7.0209980010986328E-2</v>
      </c>
      <c r="W42" s="3">
        <f t="shared" si="20"/>
        <v>70.209980010986328</v>
      </c>
      <c r="Y42" s="4">
        <f>1629135183.35607-1629135183.28589</f>
        <v>7.0179939270019531E-2</v>
      </c>
      <c r="Z42" s="3">
        <f t="shared" si="21"/>
        <v>70.179939270019531</v>
      </c>
      <c r="AB42" s="4">
        <f>1629135183.35544-1629135183.28589</f>
        <v>6.9549798965454102E-2</v>
      </c>
      <c r="AC42" s="3">
        <f t="shared" si="22"/>
        <v>69.549798965454102</v>
      </c>
      <c r="AE42" s="4">
        <f>1629135183.35539-1629135183.28589</f>
        <v>6.9499969482421875E-2</v>
      </c>
      <c r="AF42" s="3">
        <f t="shared" si="23"/>
        <v>69.499969482421875</v>
      </c>
    </row>
    <row r="43" spans="1:32" x14ac:dyDescent="0.3">
      <c r="A43" s="4">
        <f>1629135337.88437-1629135337.81804</f>
        <v>6.6330194473266602E-2</v>
      </c>
      <c r="B43" s="3">
        <f t="shared" si="14"/>
        <v>66.330194473266602</v>
      </c>
      <c r="D43" s="4">
        <f>1629135337.88448-1629135337.81804</f>
        <v>6.6440105438232422E-2</v>
      </c>
      <c r="E43" s="3">
        <f t="shared" si="15"/>
        <v>66.440105438232422</v>
      </c>
      <c r="G43" s="4">
        <f>1629135337.88437-1629135337.81804</f>
        <v>6.6330194473266602E-2</v>
      </c>
      <c r="H43" s="3">
        <f t="shared" si="16"/>
        <v>66.330194473266602</v>
      </c>
      <c r="J43" s="4">
        <f>1629135337.88501-1629135337.81804</f>
        <v>6.6970109939575195E-2</v>
      </c>
      <c r="K43" s="3">
        <f t="shared" si="17"/>
        <v>66.970109939575195</v>
      </c>
      <c r="M43" s="4">
        <f>1629135337.88494-1629135337.81804</f>
        <v>6.6900014877319336E-2</v>
      </c>
      <c r="N43" s="3">
        <f t="shared" si="18"/>
        <v>66.900014877319336</v>
      </c>
      <c r="S43" s="4">
        <f>1629135184.42724-1629135184.35837</f>
        <v>6.8869829177856445E-2</v>
      </c>
      <c r="T43" s="3">
        <f t="shared" si="19"/>
        <v>68.869829177856445</v>
      </c>
      <c r="V43" s="4">
        <f>1629135184.42728-1629135184.35837</f>
        <v>6.8909883499145508E-2</v>
      </c>
      <c r="W43" s="3">
        <f t="shared" si="20"/>
        <v>68.909883499145508</v>
      </c>
      <c r="Y43" s="4">
        <f>1629135184.42803-1629135184.35837</f>
        <v>6.9659948348999023E-2</v>
      </c>
      <c r="Z43" s="3">
        <f t="shared" si="21"/>
        <v>69.659948348999023</v>
      </c>
      <c r="AB43" s="4">
        <f>1629135184.42811-1629135184.35837</f>
        <v>6.9739818572998047E-2</v>
      </c>
      <c r="AC43" s="3">
        <f t="shared" si="22"/>
        <v>69.739818572998047</v>
      </c>
      <c r="AE43" s="4">
        <f>1629135184.42729-1629135184.35837</f>
        <v>6.8919897079467773E-2</v>
      </c>
      <c r="AF43" s="3">
        <f t="shared" si="23"/>
        <v>68.919897079467773</v>
      </c>
    </row>
    <row r="44" spans="1:32" x14ac:dyDescent="0.3">
      <c r="A44" s="4">
        <f>1629135338.96032-1629135338.88999</f>
        <v>7.0329904556274414E-2</v>
      </c>
      <c r="B44" s="3">
        <f t="shared" si="14"/>
        <v>70.329904556274414</v>
      </c>
      <c r="D44" s="4">
        <f>1629135338.96043-1629135338.88999</f>
        <v>7.0439815521240234E-2</v>
      </c>
      <c r="E44" s="3">
        <f t="shared" si="15"/>
        <v>70.439815521240234</v>
      </c>
      <c r="G44" s="4">
        <f>1629135338.96032-1629135338.88999</f>
        <v>7.0329904556274414E-2</v>
      </c>
      <c r="H44" s="3">
        <f t="shared" si="16"/>
        <v>70.329904556274414</v>
      </c>
      <c r="J44" s="4">
        <f>1629135338.96094-1629135338.88999</f>
        <v>7.0949792861938477E-2</v>
      </c>
      <c r="K44" s="3">
        <f t="shared" si="17"/>
        <v>70.949792861938477</v>
      </c>
      <c r="M44" s="4">
        <f>1629135338.96087-1629135338.88999</f>
        <v>7.0879936218261719E-2</v>
      </c>
      <c r="N44" s="3">
        <f t="shared" si="18"/>
        <v>70.879936218261719</v>
      </c>
      <c r="S44" s="4">
        <f>1629135185.49923-1629135185.43034</f>
        <v>6.8889856338500977E-2</v>
      </c>
      <c r="T44" s="3">
        <f t="shared" si="19"/>
        <v>68.889856338500977</v>
      </c>
      <c r="V44" s="4">
        <f>1629135185.49925-1629135185.43034</f>
        <v>6.8909883499145508E-2</v>
      </c>
      <c r="W44" s="3">
        <f t="shared" si="20"/>
        <v>68.909883499145508</v>
      </c>
      <c r="Y44" s="4">
        <f>1629135185.49988-1629135185.43034</f>
        <v>6.9540023803710938E-2</v>
      </c>
      <c r="Z44" s="3">
        <f t="shared" si="21"/>
        <v>69.540023803710938</v>
      </c>
      <c r="AB44" s="4">
        <f>1629135185.49995-1629135185.43034</f>
        <v>6.9609880447387695E-2</v>
      </c>
      <c r="AC44" s="3">
        <f t="shared" si="22"/>
        <v>69.609880447387695</v>
      </c>
      <c r="AE44" s="4">
        <f>1629135185.49928-1629135185.43034</f>
        <v>6.8939924240112305E-2</v>
      </c>
      <c r="AF44" s="3">
        <f t="shared" si="23"/>
        <v>68.939924240112305</v>
      </c>
    </row>
    <row r="45" spans="1:32" x14ac:dyDescent="0.3">
      <c r="A45" s="4">
        <f>1629135340.0284-1629135339.9655</f>
        <v>6.289982795715332E-2</v>
      </c>
      <c r="B45" s="3">
        <f t="shared" si="14"/>
        <v>62.89982795715332</v>
      </c>
      <c r="D45" s="4">
        <f>1629135340.02852-1629135339.9655</f>
        <v>6.3019990921020508E-2</v>
      </c>
      <c r="E45" s="3">
        <f t="shared" si="15"/>
        <v>63.019990921020508</v>
      </c>
      <c r="G45" s="4">
        <f>1629135340.0284-1629135339.9655</f>
        <v>6.289982795715332E-2</v>
      </c>
      <c r="H45" s="3">
        <f t="shared" si="16"/>
        <v>62.89982795715332</v>
      </c>
      <c r="J45" s="4">
        <f>1629135340.03374-1629135339.9655</f>
        <v>6.8239927291870117E-2</v>
      </c>
      <c r="K45" s="3">
        <f t="shared" si="17"/>
        <v>68.239927291870117</v>
      </c>
      <c r="M45" s="4">
        <f>1629135340.03386-1629135339.9655</f>
        <v>6.8359851837158203E-2</v>
      </c>
      <c r="N45" s="3">
        <f t="shared" si="18"/>
        <v>68.359851837158203</v>
      </c>
      <c r="S45" s="4">
        <f>1629135186.57119-1629135186.50223</f>
        <v>6.8960189819335938E-2</v>
      </c>
      <c r="T45" s="3">
        <f t="shared" si="19"/>
        <v>68.960189819335938</v>
      </c>
      <c r="V45" s="4">
        <f>1629135186.57124-1629135186.50223</f>
        <v>6.9010019302368164E-2</v>
      </c>
      <c r="W45" s="3">
        <f t="shared" si="20"/>
        <v>69.010019302368164</v>
      </c>
      <c r="Y45" s="4">
        <f>1629135186.57368-1629135186.50223</f>
        <v>7.1449995040893555E-2</v>
      </c>
      <c r="Z45" s="3">
        <f t="shared" si="21"/>
        <v>71.449995040893555</v>
      </c>
      <c r="AB45" s="4">
        <f>1629135186.57709-1629135186.50223</f>
        <v>7.4860095977783203E-2</v>
      </c>
      <c r="AC45" s="3">
        <f t="shared" si="22"/>
        <v>74.860095977783203</v>
      </c>
      <c r="AE45" s="4">
        <f>1629135186.57128-1629135186.50223</f>
        <v>6.9050073623657227E-2</v>
      </c>
      <c r="AF45" s="3">
        <f t="shared" si="23"/>
        <v>69.050073623657227</v>
      </c>
    </row>
    <row r="46" spans="1:32" x14ac:dyDescent="0.3">
      <c r="B46" s="2">
        <f>AVERAGE(B36:B45)</f>
        <v>66.611027717590332</v>
      </c>
      <c r="E46" s="2">
        <f>AVERAGE(E36:E45)</f>
        <v>66.633963584899902</v>
      </c>
      <c r="H46" s="2">
        <f>AVERAGE(H36:H45)</f>
        <v>66.603994369506836</v>
      </c>
      <c r="K46" s="2">
        <f>AVERAGE(K36:K45)</f>
        <v>67.715001106262207</v>
      </c>
      <c r="N46" s="2">
        <f>AVERAGE(N36:N45)</f>
        <v>67.505979537963867</v>
      </c>
      <c r="T46" s="2">
        <f>AVERAGE(T36:T45)</f>
        <v>69.228005409240723</v>
      </c>
      <c r="W46" s="2">
        <f>AVERAGE(W36:W45)</f>
        <v>69.910979270935059</v>
      </c>
      <c r="Z46" s="2">
        <f>AVERAGE(Z36:Z45)</f>
        <v>70.178031921386719</v>
      </c>
      <c r="AC46" s="2">
        <f>AVERAGE(AC36:AC45)</f>
        <v>70.087003707885742</v>
      </c>
      <c r="AF46" s="2">
        <f>AVERAGE(AF36:AF45)</f>
        <v>69.299983978271484</v>
      </c>
    </row>
    <row r="48" spans="1:32" x14ac:dyDescent="0.3">
      <c r="A48" s="6" t="s">
        <v>22</v>
      </c>
      <c r="B48" s="6"/>
      <c r="D48" s="6" t="s">
        <v>23</v>
      </c>
      <c r="E48" s="6"/>
      <c r="G48" s="6" t="s">
        <v>24</v>
      </c>
      <c r="H48" s="6"/>
      <c r="J48" s="6" t="s">
        <v>25</v>
      </c>
      <c r="K48" s="6"/>
      <c r="M48" s="6" t="s">
        <v>26</v>
      </c>
      <c r="N48" s="6"/>
      <c r="S48" s="6" t="s">
        <v>22</v>
      </c>
      <c r="T48" s="6"/>
      <c r="V48" s="6" t="s">
        <v>23</v>
      </c>
      <c r="W48" s="6"/>
      <c r="Y48" s="6" t="s">
        <v>24</v>
      </c>
      <c r="Z48" s="6"/>
      <c r="AB48" s="6" t="s">
        <v>25</v>
      </c>
      <c r="AC48" s="6"/>
      <c r="AE48" s="6" t="s">
        <v>26</v>
      </c>
      <c r="AF48" s="6"/>
    </row>
    <row r="49" spans="1:32" ht="45" customHeight="1" x14ac:dyDescent="0.3">
      <c r="A49" s="8" t="s">
        <v>62</v>
      </c>
      <c r="B49" s="8"/>
      <c r="D49" s="8" t="s">
        <v>62</v>
      </c>
      <c r="E49" s="8"/>
      <c r="G49" s="8" t="s">
        <v>62</v>
      </c>
      <c r="H49" s="8"/>
      <c r="J49" s="8" t="s">
        <v>62</v>
      </c>
      <c r="K49" s="8"/>
      <c r="M49" s="8" t="s">
        <v>62</v>
      </c>
      <c r="N49" s="8"/>
      <c r="S49" s="8" t="s">
        <v>63</v>
      </c>
      <c r="T49" s="8"/>
      <c r="V49" s="8" t="s">
        <v>63</v>
      </c>
      <c r="W49" s="8"/>
      <c r="Y49" s="8" t="s">
        <v>63</v>
      </c>
      <c r="Z49" s="8"/>
      <c r="AB49" s="8" t="s">
        <v>63</v>
      </c>
      <c r="AC49" s="8"/>
      <c r="AE49" s="8" t="s">
        <v>63</v>
      </c>
      <c r="AF49" s="8"/>
    </row>
    <row r="50" spans="1:32" x14ac:dyDescent="0.3">
      <c r="A50" s="1" t="s">
        <v>1</v>
      </c>
      <c r="B50" s="1" t="s">
        <v>0</v>
      </c>
      <c r="D50" s="1" t="s">
        <v>1</v>
      </c>
      <c r="E50" s="1" t="s">
        <v>0</v>
      </c>
      <c r="G50" s="1" t="s">
        <v>1</v>
      </c>
      <c r="H50" s="1" t="s">
        <v>0</v>
      </c>
      <c r="J50" s="1" t="s">
        <v>1</v>
      </c>
      <c r="K50" s="1" t="s">
        <v>0</v>
      </c>
      <c r="M50" s="1" t="s">
        <v>1</v>
      </c>
      <c r="N50" s="1" t="s">
        <v>0</v>
      </c>
      <c r="S50" s="1" t="s">
        <v>1</v>
      </c>
      <c r="T50" s="1" t="s">
        <v>0</v>
      </c>
      <c r="V50" s="1" t="s">
        <v>1</v>
      </c>
      <c r="W50" s="1" t="s">
        <v>0</v>
      </c>
      <c r="Y50" s="1" t="s">
        <v>1</v>
      </c>
      <c r="Z50" s="1" t="s">
        <v>0</v>
      </c>
      <c r="AB50" s="1" t="s">
        <v>1</v>
      </c>
      <c r="AC50" s="1" t="s">
        <v>0</v>
      </c>
      <c r="AE50" s="1" t="s">
        <v>1</v>
      </c>
      <c r="AF50" s="1" t="s">
        <v>0</v>
      </c>
    </row>
    <row r="51" spans="1:32" x14ac:dyDescent="0.3">
      <c r="A51" s="4">
        <f>1629135330.38007-1629135330.31371</f>
        <v>6.6359996795654297E-2</v>
      </c>
      <c r="B51" s="3">
        <f>A51*1000</f>
        <v>66.359996795654297</v>
      </c>
      <c r="D51" s="4">
        <f>1629135330.38081-1629135330.31371</f>
        <v>6.7100048065185547E-2</v>
      </c>
      <c r="E51" s="3">
        <f>D51*1000</f>
        <v>67.100048065185547</v>
      </c>
      <c r="G51" s="4">
        <f>1629135330.38014-1629135330.31371</f>
        <v>6.6430091857910156E-2</v>
      </c>
      <c r="H51" s="3">
        <f>G51*1000</f>
        <v>66.430091857910156</v>
      </c>
      <c r="J51" s="4">
        <f>1629135330.38007-1629135330.31371</f>
        <v>6.6359996795654297E-2</v>
      </c>
      <c r="K51" s="3">
        <f>J51*1000</f>
        <v>66.359996795654297</v>
      </c>
      <c r="M51" s="4">
        <f>1629135330.38046-1629135330.31371</f>
        <v>6.6750049591064453E-2</v>
      </c>
      <c r="N51" s="3">
        <f>M51*1000</f>
        <v>66.750049591064453</v>
      </c>
      <c r="S51" s="4">
        <f>1629135176.9248-1629135176.85131</f>
        <v>7.3489904403686523E-2</v>
      </c>
      <c r="T51" s="3">
        <f>S51*1000</f>
        <v>73.489904403686523</v>
      </c>
      <c r="V51" s="4">
        <f>1629135176.92524-1629135176.85131</f>
        <v>7.3930025100708008E-2</v>
      </c>
      <c r="W51" s="3">
        <f>V51*1000</f>
        <v>73.930025100708008</v>
      </c>
      <c r="Y51" s="4">
        <f>1629135176.92439-1629135176.85131</f>
        <v>7.3080062866210938E-2</v>
      </c>
      <c r="Z51" s="3">
        <f>Y51*1000</f>
        <v>73.080062866210938</v>
      </c>
      <c r="AB51" s="4">
        <f>1629135176.92445-1629135176.85131</f>
        <v>7.313990592956543E-2</v>
      </c>
      <c r="AC51" s="3">
        <f>AB51*1000</f>
        <v>73.13990592956543</v>
      </c>
      <c r="AE51" s="4">
        <f>1629135176.92439-1629135176.85131</f>
        <v>7.3080062866210938E-2</v>
      </c>
      <c r="AF51" s="3">
        <f>AE51*1000</f>
        <v>73.080062866210938</v>
      </c>
    </row>
    <row r="52" spans="1:32" x14ac:dyDescent="0.3">
      <c r="A52" s="4">
        <f>1629135331.45204-1629135331.3861</f>
        <v>6.5939903259277344E-2</v>
      </c>
      <c r="B52" s="3">
        <f t="shared" ref="B52:B60" si="24">A52*1000</f>
        <v>65.939903259277344</v>
      </c>
      <c r="D52" s="4">
        <f>1629135331.45247-1629135331.3861</f>
        <v>6.6370010375976563E-2</v>
      </c>
      <c r="E52" s="3">
        <f t="shared" ref="E52:E60" si="25">D52*1000</f>
        <v>66.370010375976563</v>
      </c>
      <c r="G52" s="4">
        <f>1629135331.45196-1629135331.3861</f>
        <v>6.586003303527832E-2</v>
      </c>
      <c r="H52" s="3">
        <f t="shared" ref="H52:H60" si="26">G52*1000</f>
        <v>65.86003303527832</v>
      </c>
      <c r="J52" s="4">
        <f>1629135331.45196-1629135331.3861</f>
        <v>6.586003303527832E-2</v>
      </c>
      <c r="K52" s="3">
        <f t="shared" ref="K52:K60" si="27">J52*1000</f>
        <v>65.86003303527832</v>
      </c>
      <c r="M52" s="4">
        <f>1629135331.45258-1629135331.3861</f>
        <v>6.6479921340942383E-2</v>
      </c>
      <c r="N52" s="3">
        <f t="shared" ref="N52:N60" si="28">M52*1000</f>
        <v>66.479921340942383</v>
      </c>
      <c r="S52" s="4">
        <f>1629135177.99682-1629135177.92672</f>
        <v>7.0100069046020508E-2</v>
      </c>
      <c r="T52" s="3">
        <f t="shared" ref="T52:T60" si="29">S52*1000</f>
        <v>70.100069046020508</v>
      </c>
      <c r="V52" s="4">
        <f>1629135177.99616-1629135177.92672</f>
        <v>6.9440126419067383E-2</v>
      </c>
      <c r="W52" s="3">
        <f t="shared" ref="W52:W60" si="30">V52*1000</f>
        <v>69.440126419067383</v>
      </c>
      <c r="Y52" s="4">
        <f>1629135177.99611-1629135177.92672</f>
        <v>6.9390058517456055E-2</v>
      </c>
      <c r="Z52" s="3">
        <f t="shared" ref="Z52:Z60" si="31">Y52*1000</f>
        <v>69.390058517456055</v>
      </c>
      <c r="AB52" s="4">
        <f>1629135177.99617-1629135177.92672</f>
        <v>6.9450139999389648E-2</v>
      </c>
      <c r="AC52" s="3">
        <f t="shared" ref="AC52:AC60" si="32">AB52*1000</f>
        <v>69.450139999389648</v>
      </c>
      <c r="AE52" s="4">
        <f>1629135177.99672-1629135177.92672</f>
        <v>7.0000171661376953E-2</v>
      </c>
      <c r="AF52" s="3">
        <f t="shared" ref="AF52:AF60" si="33">AE52*1000</f>
        <v>70.000171661376953</v>
      </c>
    </row>
    <row r="53" spans="1:32" x14ac:dyDescent="0.3">
      <c r="A53" s="4">
        <f>1629135332.52391-1629135332.45751</f>
        <v>6.6400051116943359E-2</v>
      </c>
      <c r="B53" s="3">
        <f t="shared" si="24"/>
        <v>66.400051116943359</v>
      </c>
      <c r="D53" s="4">
        <f>1629135332.52443-1629135332.45751</f>
        <v>6.6920042037963867E-2</v>
      </c>
      <c r="E53" s="3">
        <f t="shared" si="25"/>
        <v>66.920042037963867</v>
      </c>
      <c r="G53" s="4">
        <f>1629135332.52399-1629135332.45751</f>
        <v>6.6479921340942383E-2</v>
      </c>
      <c r="H53" s="3">
        <f t="shared" si="26"/>
        <v>66.479921340942383</v>
      </c>
      <c r="J53" s="4">
        <f>1629135332.52391-1629135332.45751</f>
        <v>6.6400051116943359E-2</v>
      </c>
      <c r="K53" s="3">
        <f t="shared" si="27"/>
        <v>66.400051116943359</v>
      </c>
      <c r="M53" s="4">
        <f>1629135332.52475-1629135332.45751</f>
        <v>6.7239999771118164E-2</v>
      </c>
      <c r="N53" s="3">
        <f t="shared" si="28"/>
        <v>67.239999771118164</v>
      </c>
      <c r="S53" s="4">
        <f>1629135179.06885-1629135178.99826</f>
        <v>7.0590019226074219E-2</v>
      </c>
      <c r="T53" s="3">
        <f t="shared" si="29"/>
        <v>70.590019226074219</v>
      </c>
      <c r="V53" s="4">
        <f>1629135179.06817-1629135178.99826</f>
        <v>6.9910049438476563E-2</v>
      </c>
      <c r="W53" s="3">
        <f t="shared" si="30"/>
        <v>69.910049438476563</v>
      </c>
      <c r="Y53" s="4">
        <f>1629135179.06812-1629135178.99826</f>
        <v>6.9859981536865234E-2</v>
      </c>
      <c r="Z53" s="3">
        <f t="shared" si="31"/>
        <v>69.859981536865234</v>
      </c>
      <c r="AB53" s="4">
        <f>1629135179.06822-1629135178.99826</f>
        <v>6.9959878921508789E-2</v>
      </c>
      <c r="AC53" s="3">
        <f t="shared" si="32"/>
        <v>69.959878921508789</v>
      </c>
      <c r="AE53" s="4">
        <f>1629135179.06874-1629135178.99826</f>
        <v>7.0479869842529297E-2</v>
      </c>
      <c r="AF53" s="3">
        <f t="shared" si="33"/>
        <v>70.479869842529297</v>
      </c>
    </row>
    <row r="54" spans="1:32" x14ac:dyDescent="0.3">
      <c r="A54" s="4">
        <f>1629135333.59593-1629135333.5298</f>
        <v>6.6130161285400391E-2</v>
      </c>
      <c r="B54" s="3">
        <f t="shared" si="24"/>
        <v>66.130161285400391</v>
      </c>
      <c r="D54" s="4">
        <f>1629135333.59646-1629135333.5298</f>
        <v>6.6660165786743164E-2</v>
      </c>
      <c r="E54" s="3">
        <f t="shared" si="25"/>
        <v>66.660165786743164</v>
      </c>
      <c r="G54" s="4">
        <f>1629135333.59593-1629135333.5298</f>
        <v>6.6130161285400391E-2</v>
      </c>
      <c r="H54" s="3">
        <f t="shared" si="26"/>
        <v>66.130161285400391</v>
      </c>
      <c r="J54" s="4">
        <f>1629135333.59603-1629135333.5298</f>
        <v>6.6230058670043945E-2</v>
      </c>
      <c r="K54" s="3">
        <f t="shared" si="27"/>
        <v>66.230058670043945</v>
      </c>
      <c r="M54" s="4">
        <f>1629135333.59593-1629135333.5298</f>
        <v>6.6130161285400391E-2</v>
      </c>
      <c r="N54" s="3">
        <f t="shared" si="28"/>
        <v>66.130161285400391</v>
      </c>
      <c r="S54" s="4">
        <f>1629135180.14073-1629135180.07056</f>
        <v>7.0169925689697266E-2</v>
      </c>
      <c r="T54" s="3">
        <f t="shared" si="29"/>
        <v>70.169925689697266</v>
      </c>
      <c r="V54" s="4">
        <f>1629135180.14021-1629135180.07056</f>
        <v>6.9649934768676758E-2</v>
      </c>
      <c r="W54" s="3">
        <f t="shared" si="30"/>
        <v>69.649934768676758</v>
      </c>
      <c r="Y54" s="4">
        <f>1629135180.14029-1629135180.07056</f>
        <v>6.9730043411254883E-2</v>
      </c>
      <c r="Z54" s="3">
        <f t="shared" si="31"/>
        <v>69.730043411254883</v>
      </c>
      <c r="AB54" s="4">
        <f>1629135180.14021-1629135180.07056</f>
        <v>6.9649934768676758E-2</v>
      </c>
      <c r="AC54" s="3">
        <f t="shared" si="32"/>
        <v>69.649934768676758</v>
      </c>
      <c r="AE54" s="4">
        <f>1629135180.1408-1629135180.07056</f>
        <v>7.0240020751953125E-2</v>
      </c>
      <c r="AF54" s="3">
        <f t="shared" si="33"/>
        <v>70.240020751953125</v>
      </c>
    </row>
    <row r="55" spans="1:32" x14ac:dyDescent="0.3">
      <c r="A55" s="4">
        <f>1629135334.6679-1629135334.60144</f>
        <v>6.6460132598876953E-2</v>
      </c>
      <c r="B55" s="3">
        <f t="shared" si="24"/>
        <v>66.460132598876953</v>
      </c>
      <c r="D55" s="4">
        <f>1629135334.66844-1629135334.60144</f>
        <v>6.7000150680541992E-2</v>
      </c>
      <c r="E55" s="3">
        <f t="shared" si="25"/>
        <v>67.000150680541992</v>
      </c>
      <c r="G55" s="4">
        <f>1629135334.6679-1629135334.60144</f>
        <v>6.6460132598876953E-2</v>
      </c>
      <c r="H55" s="3">
        <f t="shared" si="26"/>
        <v>66.460132598876953</v>
      </c>
      <c r="J55" s="4">
        <f>1629135334.66801-1629135334.60144</f>
        <v>6.6570043563842773E-2</v>
      </c>
      <c r="K55" s="3">
        <f t="shared" si="27"/>
        <v>66.570043563842773</v>
      </c>
      <c r="M55" s="4">
        <f>1629135334.6679-1629135334.60144</f>
        <v>6.6460132598876953E-2</v>
      </c>
      <c r="N55" s="3">
        <f t="shared" si="28"/>
        <v>66.460132598876953</v>
      </c>
      <c r="S55" s="4">
        <f>1629135181.21265-1629135181.14242</f>
        <v>7.0230007171630859E-2</v>
      </c>
      <c r="T55" s="3">
        <f t="shared" si="29"/>
        <v>70.230007171630859</v>
      </c>
      <c r="V55" s="4">
        <f>1629135181.21209-1629135181.14242</f>
        <v>6.9669961929321289E-2</v>
      </c>
      <c r="W55" s="3">
        <f t="shared" si="30"/>
        <v>69.669961929321289</v>
      </c>
      <c r="Y55" s="4">
        <f>1629135181.21217-1629135181.14242</f>
        <v>6.9749832153320313E-2</v>
      </c>
      <c r="Z55" s="3">
        <f t="shared" si="31"/>
        <v>69.749832153320313</v>
      </c>
      <c r="AB55" s="4">
        <f>1629135181.21211-1629135181.14242</f>
        <v>6.968998908996582E-2</v>
      </c>
      <c r="AC55" s="3">
        <f t="shared" si="32"/>
        <v>69.68998908996582</v>
      </c>
      <c r="AE55" s="4">
        <f>1629135181.21275-1629135181.14242</f>
        <v>7.0329904556274414E-2</v>
      </c>
      <c r="AF55" s="3">
        <f t="shared" si="33"/>
        <v>70.329904556274414</v>
      </c>
    </row>
    <row r="56" spans="1:32" x14ac:dyDescent="0.3">
      <c r="A56" s="4">
        <f>1629135335.73995-1629135335.67394</f>
        <v>6.6009998321533203E-2</v>
      </c>
      <c r="B56" s="3">
        <f t="shared" si="24"/>
        <v>66.009998321533203</v>
      </c>
      <c r="D56" s="4">
        <f>1629135335.74051-1629135335.67394</f>
        <v>6.6570043563842773E-2</v>
      </c>
      <c r="E56" s="3">
        <f t="shared" si="25"/>
        <v>66.570043563842773</v>
      </c>
      <c r="G56" s="4">
        <f>1629135335.73995-1629135335.67394</f>
        <v>6.6009998321533203E-2</v>
      </c>
      <c r="H56" s="3">
        <f t="shared" si="26"/>
        <v>66.009998321533203</v>
      </c>
      <c r="J56" s="4">
        <f>1629135335.73995-1629135335.67394</f>
        <v>6.6009998321533203E-2</v>
      </c>
      <c r="K56" s="3">
        <f t="shared" si="27"/>
        <v>66.009998321533203</v>
      </c>
      <c r="M56" s="4">
        <f>1629135335.74077-1629135335.67394</f>
        <v>6.6830158233642578E-2</v>
      </c>
      <c r="N56" s="3">
        <f t="shared" si="28"/>
        <v>66.830158233642578</v>
      </c>
      <c r="S56" s="4">
        <f>1629135182.2852-1629135182.21446</f>
        <v>7.0740222930908203E-2</v>
      </c>
      <c r="T56" s="3">
        <f t="shared" si="29"/>
        <v>70.740222930908203</v>
      </c>
      <c r="V56" s="4">
        <f>1629135182.2842-1629135182.21446</f>
        <v>6.9740056991577148E-2</v>
      </c>
      <c r="W56" s="3">
        <f t="shared" si="30"/>
        <v>69.740056991577148</v>
      </c>
      <c r="Y56" s="4">
        <f>1629135182.28412-1629135182.21446</f>
        <v>6.9660186767578125E-2</v>
      </c>
      <c r="Z56" s="3">
        <f t="shared" si="31"/>
        <v>69.660186767578125</v>
      </c>
      <c r="AB56" s="4">
        <f>1629135182.28414-1629135182.21446</f>
        <v>6.9680213928222656E-2</v>
      </c>
      <c r="AC56" s="3">
        <f t="shared" si="32"/>
        <v>69.680213928222656</v>
      </c>
      <c r="AE56" s="4">
        <f>1629135182.28477-1629135182.21446</f>
        <v>7.0310115814208984E-2</v>
      </c>
      <c r="AF56" s="3">
        <f t="shared" si="33"/>
        <v>70.310115814208984</v>
      </c>
    </row>
    <row r="57" spans="1:32" x14ac:dyDescent="0.3">
      <c r="A57" s="4">
        <f>1629135336.81201-1629135336.74598</f>
        <v>6.6030025482177734E-2</v>
      </c>
      <c r="B57" s="3">
        <f t="shared" si="24"/>
        <v>66.030025482177734</v>
      </c>
      <c r="D57" s="4">
        <f>1629135336.81264-1629135336.74598</f>
        <v>6.6659927368164063E-2</v>
      </c>
      <c r="E57" s="3">
        <f t="shared" si="25"/>
        <v>66.659927368164063</v>
      </c>
      <c r="G57" s="4">
        <f>1629135336.81201-1629135336.74598</f>
        <v>6.6030025482177734E-2</v>
      </c>
      <c r="H57" s="3">
        <f t="shared" si="26"/>
        <v>66.030025482177734</v>
      </c>
      <c r="J57" s="4">
        <f>1629135336.8121-1629135336.74598</f>
        <v>6.6119909286499023E-2</v>
      </c>
      <c r="K57" s="3">
        <f t="shared" si="27"/>
        <v>66.119909286499023</v>
      </c>
      <c r="M57" s="4">
        <f>1629135336.81259-1629135336.74598</f>
        <v>6.6609859466552734E-2</v>
      </c>
      <c r="N57" s="3">
        <f t="shared" si="28"/>
        <v>66.609859466552734</v>
      </c>
      <c r="S57" s="4">
        <f>1629135183.35616-1629135183.28589</f>
        <v>7.026982307434082E-2</v>
      </c>
      <c r="T57" s="3">
        <f t="shared" si="29"/>
        <v>70.26982307434082</v>
      </c>
      <c r="V57" s="4">
        <f>1629135183.35676-1629135183.28589</f>
        <v>7.0869922637939453E-2</v>
      </c>
      <c r="W57" s="3">
        <f t="shared" si="30"/>
        <v>70.869922637939453</v>
      </c>
      <c r="Y57" s="4">
        <f>1629135183.35611-1629135183.28589</f>
        <v>7.0219993591308594E-2</v>
      </c>
      <c r="Z57" s="3">
        <f t="shared" si="31"/>
        <v>70.219993591308594</v>
      </c>
      <c r="AB57" s="4">
        <f>1629135183.35621-1629135183.28589</f>
        <v>7.0319890975952148E-2</v>
      </c>
      <c r="AC57" s="3">
        <f t="shared" si="32"/>
        <v>70.319890975952148</v>
      </c>
      <c r="AE57" s="4">
        <f>1629135183.35673-1629135183.28589</f>
        <v>7.0839881896972656E-2</v>
      </c>
      <c r="AF57" s="3">
        <f t="shared" si="33"/>
        <v>70.839881896972656</v>
      </c>
    </row>
    <row r="58" spans="1:32" x14ac:dyDescent="0.3">
      <c r="A58" s="4">
        <f>1629135337.88389-1629135337.81804</f>
        <v>6.5850019454956055E-2</v>
      </c>
      <c r="B58" s="3">
        <f t="shared" si="24"/>
        <v>65.850019454956055</v>
      </c>
      <c r="D58" s="4">
        <f>1629135337.88437-1629135337.81804</f>
        <v>6.6330194473266602E-2</v>
      </c>
      <c r="E58" s="3">
        <f t="shared" si="25"/>
        <v>66.330194473266602</v>
      </c>
      <c r="G58" s="4">
        <f>1629135337.88399-1629135337.81804</f>
        <v>6.5950155258178711E-2</v>
      </c>
      <c r="H58" s="3">
        <f t="shared" si="26"/>
        <v>65.950155258178711</v>
      </c>
      <c r="J58" s="4">
        <f>1629135337.88389-1629135337.81804</f>
        <v>6.5850019454956055E-2</v>
      </c>
      <c r="K58" s="3">
        <f t="shared" si="27"/>
        <v>65.850019454956055</v>
      </c>
      <c r="M58" s="4">
        <f>1629135337.88443-1629135337.81804</f>
        <v>6.6390037536621094E-2</v>
      </c>
      <c r="N58" s="3">
        <f t="shared" si="28"/>
        <v>66.390037536621094</v>
      </c>
      <c r="S58" s="4">
        <f>1629135184.42801-1629135184.35837</f>
        <v>6.9639921188354492E-2</v>
      </c>
      <c r="T58" s="3">
        <f t="shared" si="29"/>
        <v>69.639921188354492</v>
      </c>
      <c r="V58" s="4">
        <f>1629135184.42809-1629135184.35837</f>
        <v>6.9720029830932617E-2</v>
      </c>
      <c r="W58" s="3">
        <f t="shared" si="30"/>
        <v>69.720029830932617</v>
      </c>
      <c r="Y58" s="4">
        <f>1629135184.42804-1629135184.35837</f>
        <v>6.9669961929321289E-2</v>
      </c>
      <c r="Z58" s="3">
        <f t="shared" si="31"/>
        <v>69.669961929321289</v>
      </c>
      <c r="AB58" s="4">
        <f>1629135184.42864-1629135184.35837</f>
        <v>7.026982307434082E-2</v>
      </c>
      <c r="AC58" s="3">
        <f t="shared" si="32"/>
        <v>70.26982307434082</v>
      </c>
      <c r="AE58" s="4">
        <f>1629135184.4287-1629135184.35837</f>
        <v>7.0329904556274414E-2</v>
      </c>
      <c r="AF58" s="3">
        <f t="shared" si="33"/>
        <v>70.329904556274414</v>
      </c>
    </row>
    <row r="59" spans="1:32" x14ac:dyDescent="0.3">
      <c r="A59" s="4">
        <f>1629135338.95989-1629135338.88999</f>
        <v>6.9899797439575195E-2</v>
      </c>
      <c r="B59" s="3">
        <f t="shared" si="24"/>
        <v>69.899797439575195</v>
      </c>
      <c r="D59" s="4">
        <f>1629135338.96043-1629135338.88999</f>
        <v>7.0439815521240234E-2</v>
      </c>
      <c r="E59" s="3">
        <f t="shared" si="25"/>
        <v>70.439815521240234</v>
      </c>
      <c r="G59" s="4">
        <f>1629135338.95999-1629135338.88999</f>
        <v>6.9999933242797852E-2</v>
      </c>
      <c r="H59" s="3">
        <f t="shared" si="26"/>
        <v>69.999933242797852</v>
      </c>
      <c r="J59" s="4">
        <f>1629135338.95989-1629135338.88999</f>
        <v>6.9899797439575195E-2</v>
      </c>
      <c r="K59" s="3">
        <f t="shared" si="27"/>
        <v>69.899797439575195</v>
      </c>
      <c r="M59" s="4">
        <f>1629135338.96037-1629135338.88999</f>
        <v>7.0379972457885742E-2</v>
      </c>
      <c r="N59" s="3">
        <f t="shared" si="28"/>
        <v>70.379972457885742</v>
      </c>
      <c r="S59" s="4">
        <f>1629135185.50006-1629135185.43034</f>
        <v>6.9720029830932617E-2</v>
      </c>
      <c r="T59" s="3">
        <f t="shared" si="29"/>
        <v>69.720029830932617</v>
      </c>
      <c r="V59" s="4">
        <f>1629135185.49998-1629135185.43034</f>
        <v>6.9639921188354492E-2</v>
      </c>
      <c r="W59" s="3">
        <f t="shared" si="30"/>
        <v>69.639921188354492</v>
      </c>
      <c r="Y59" s="4">
        <f>1629135185.49999-1629135185.43034</f>
        <v>6.9649934768676758E-2</v>
      </c>
      <c r="Z59" s="3">
        <f t="shared" si="31"/>
        <v>69.649934768676758</v>
      </c>
      <c r="AB59" s="4">
        <f>1629135185.50053-1629135185.43034</f>
        <v>7.0189952850341797E-2</v>
      </c>
      <c r="AC59" s="3">
        <f t="shared" si="32"/>
        <v>70.189952850341797</v>
      </c>
      <c r="AE59" s="4">
        <f>1629135185.50058-1629135185.43034</f>
        <v>7.0240020751953125E-2</v>
      </c>
      <c r="AF59" s="3">
        <f t="shared" si="33"/>
        <v>70.240020751953125</v>
      </c>
    </row>
    <row r="60" spans="1:32" x14ac:dyDescent="0.3">
      <c r="A60" s="4">
        <f>1629135340.02797-1629135339.9655</f>
        <v>6.2469959259033203E-2</v>
      </c>
      <c r="B60" s="3">
        <f t="shared" si="24"/>
        <v>62.469959259033203</v>
      </c>
      <c r="D60" s="4">
        <f>1629135340.03238-1629135339.9655</f>
        <v>6.6879987716674805E-2</v>
      </c>
      <c r="E60" s="3">
        <f t="shared" si="25"/>
        <v>66.879987716674805</v>
      </c>
      <c r="G60" s="4">
        <f>1629135340.02787-1629135339.9655</f>
        <v>6.2369823455810547E-2</v>
      </c>
      <c r="H60" s="3">
        <f t="shared" si="26"/>
        <v>62.369823455810547</v>
      </c>
      <c r="J60" s="4">
        <f>1629135340.02787-1629135339.9655</f>
        <v>6.2369823455810547E-2</v>
      </c>
      <c r="K60" s="3">
        <f t="shared" si="27"/>
        <v>62.369823455810547</v>
      </c>
      <c r="M60" s="4">
        <f>1629135340.03223-1629135339.9655</f>
        <v>6.672978401184082E-2</v>
      </c>
      <c r="N60" s="3">
        <f t="shared" si="28"/>
        <v>66.72978401184082</v>
      </c>
      <c r="S60" s="4">
        <f>1629135186.57204-1629135186.50223</f>
        <v>6.9810152053833008E-2</v>
      </c>
      <c r="T60" s="3">
        <f t="shared" si="29"/>
        <v>69.810152053833008</v>
      </c>
      <c r="V60" s="4">
        <f>1629135186.57196-1629135186.50223</f>
        <v>6.9730043411254883E-2</v>
      </c>
      <c r="W60" s="3">
        <f t="shared" si="30"/>
        <v>69.730043411254883</v>
      </c>
      <c r="Y60" s="4">
        <f>1629135186.57196-1629135186.50223</f>
        <v>6.9730043411254883E-2</v>
      </c>
      <c r="Z60" s="3">
        <f t="shared" si="31"/>
        <v>69.730043411254883</v>
      </c>
      <c r="AB60" s="4">
        <f>1629135186.57679-1629135186.50223</f>
        <v>7.4560165405273438E-2</v>
      </c>
      <c r="AC60" s="3">
        <f t="shared" si="32"/>
        <v>74.560165405273438</v>
      </c>
      <c r="AE60" s="4">
        <f>1629135186.57669-1629135186.50223</f>
        <v>7.4460029602050781E-2</v>
      </c>
      <c r="AF60" s="3">
        <f t="shared" si="33"/>
        <v>74.460029602050781</v>
      </c>
    </row>
    <row r="61" spans="1:32" x14ac:dyDescent="0.3">
      <c r="B61" s="2">
        <f>AVERAGE(B51:B60)</f>
        <v>66.155004501342773</v>
      </c>
      <c r="E61" s="2">
        <f>AVERAGE(E51:E60)</f>
        <v>67.093038558959961</v>
      </c>
      <c r="H61" s="2">
        <f>AVERAGE(H51:H60)</f>
        <v>66.172027587890625</v>
      </c>
      <c r="K61" s="2">
        <f>AVERAGE(K51:K60)</f>
        <v>66.166973114013672</v>
      </c>
      <c r="N61" s="2">
        <f>AVERAGE(N51:N60)</f>
        <v>67.000007629394531</v>
      </c>
      <c r="T61" s="2">
        <f>AVERAGE(T51:T60)</f>
        <v>70.476007461547852</v>
      </c>
      <c r="W61" s="2">
        <f>AVERAGE(W51:W60)</f>
        <v>70.230007171630859</v>
      </c>
      <c r="Z61" s="2">
        <f>AVERAGE(Z51:Z60)</f>
        <v>70.074009895324707</v>
      </c>
      <c r="AC61" s="2">
        <f>AVERAGE(AC51:AC60)</f>
        <v>70.69098949432373</v>
      </c>
      <c r="AF61" s="2">
        <f>AVERAGE(AF51:AF60)</f>
        <v>71.030998229980469</v>
      </c>
    </row>
    <row r="63" spans="1:32" x14ac:dyDescent="0.3">
      <c r="A63" s="6" t="s">
        <v>27</v>
      </c>
      <c r="B63" s="6"/>
      <c r="D63" s="6" t="s">
        <v>28</v>
      </c>
      <c r="E63" s="6"/>
      <c r="G63" s="6" t="s">
        <v>29</v>
      </c>
      <c r="H63" s="6"/>
      <c r="J63" s="6" t="s">
        <v>30</v>
      </c>
      <c r="K63" s="6"/>
      <c r="M63" s="6" t="s">
        <v>31</v>
      </c>
      <c r="N63" s="6"/>
      <c r="S63" s="6" t="s">
        <v>27</v>
      </c>
      <c r="T63" s="6"/>
      <c r="V63" s="6" t="s">
        <v>28</v>
      </c>
      <c r="W63" s="6"/>
      <c r="Y63" s="6" t="s">
        <v>29</v>
      </c>
      <c r="Z63" s="6"/>
      <c r="AB63" s="6" t="s">
        <v>30</v>
      </c>
      <c r="AC63" s="6"/>
      <c r="AE63" s="6" t="s">
        <v>31</v>
      </c>
      <c r="AF63" s="6"/>
    </row>
    <row r="64" spans="1:32" ht="45" customHeight="1" x14ac:dyDescent="0.3">
      <c r="A64" s="8" t="s">
        <v>62</v>
      </c>
      <c r="B64" s="8"/>
      <c r="D64" s="8" t="s">
        <v>62</v>
      </c>
      <c r="E64" s="8"/>
      <c r="G64" s="8" t="s">
        <v>62</v>
      </c>
      <c r="H64" s="8"/>
      <c r="J64" s="8" t="s">
        <v>62</v>
      </c>
      <c r="K64" s="8"/>
      <c r="M64" s="8" t="s">
        <v>62</v>
      </c>
      <c r="N64" s="8"/>
      <c r="S64" s="8" t="s">
        <v>63</v>
      </c>
      <c r="T64" s="8"/>
      <c r="V64" s="8" t="s">
        <v>63</v>
      </c>
      <c r="W64" s="8"/>
      <c r="Y64" s="8" t="s">
        <v>63</v>
      </c>
      <c r="Z64" s="8"/>
      <c r="AB64" s="8" t="s">
        <v>63</v>
      </c>
      <c r="AC64" s="8"/>
      <c r="AE64" s="8" t="s">
        <v>63</v>
      </c>
      <c r="AF64" s="8"/>
    </row>
    <row r="65" spans="1:32" x14ac:dyDescent="0.3">
      <c r="A65" s="1" t="s">
        <v>1</v>
      </c>
      <c r="B65" s="1" t="s">
        <v>0</v>
      </c>
      <c r="D65" s="1" t="s">
        <v>1</v>
      </c>
      <c r="E65" s="1" t="s">
        <v>0</v>
      </c>
      <c r="G65" s="1" t="s">
        <v>1</v>
      </c>
      <c r="H65" s="1" t="s">
        <v>0</v>
      </c>
      <c r="J65" s="1" t="s">
        <v>1</v>
      </c>
      <c r="K65" s="1" t="s">
        <v>0</v>
      </c>
      <c r="M65" s="1" t="s">
        <v>1</v>
      </c>
      <c r="N65" s="1" t="s">
        <v>0</v>
      </c>
      <c r="S65" s="1" t="s">
        <v>1</v>
      </c>
      <c r="T65" s="1" t="s">
        <v>0</v>
      </c>
      <c r="V65" s="1" t="s">
        <v>1</v>
      </c>
      <c r="W65" s="1" t="s">
        <v>0</v>
      </c>
      <c r="Y65" s="1" t="s">
        <v>1</v>
      </c>
      <c r="Z65" s="1" t="s">
        <v>0</v>
      </c>
      <c r="AB65" s="1" t="s">
        <v>1</v>
      </c>
      <c r="AC65" s="1" t="s">
        <v>0</v>
      </c>
      <c r="AE65" s="1" t="s">
        <v>1</v>
      </c>
      <c r="AF65" s="1" t="s">
        <v>0</v>
      </c>
    </row>
    <row r="66" spans="1:32" x14ac:dyDescent="0.3">
      <c r="A66" s="4">
        <f>1629135330.38017-1629135330.31371</f>
        <v>6.6460132598876953E-2</v>
      </c>
      <c r="B66" s="3">
        <f>A66*1000</f>
        <v>66.460132598876953</v>
      </c>
      <c r="D66" s="4">
        <f>1629135330.38063-1629135330.31371</f>
        <v>6.6920042037963867E-2</v>
      </c>
      <c r="E66" s="3">
        <f>D66*1000</f>
        <v>66.920042037963867</v>
      </c>
      <c r="G66" s="4">
        <f>1629135330.3802-1629135330.31371</f>
        <v>6.6489934921264648E-2</v>
      </c>
      <c r="H66" s="3">
        <f>G66*1000</f>
        <v>66.489934921264648</v>
      </c>
      <c r="J66" s="4">
        <f>1629135330.38015-1629135330.31371</f>
        <v>6.6440105438232422E-2</v>
      </c>
      <c r="K66" s="3">
        <f>J66*1000</f>
        <v>66.440105438232422</v>
      </c>
      <c r="M66" s="4">
        <f>1629135330.38092-1629135330.31371</f>
        <v>6.7209959030151367E-2</v>
      </c>
      <c r="N66" s="3">
        <f>M66*1000</f>
        <v>67.209959030151367</v>
      </c>
      <c r="S66" s="4">
        <f>1629135176.92474-1629135176.85131</f>
        <v>7.3430061340332031E-2</v>
      </c>
      <c r="T66" s="3">
        <f>S66*1000</f>
        <v>73.430061340332031</v>
      </c>
      <c r="V66" s="4">
        <f>1629135176.92554-1629135176.85131</f>
        <v>7.4229955673217773E-2</v>
      </c>
      <c r="W66" s="3">
        <f>V66*1000</f>
        <v>74.229955673217773</v>
      </c>
      <c r="Y66" s="4">
        <f>1629135176.92476-1629135176.85131</f>
        <v>7.3450088500976563E-2</v>
      </c>
      <c r="Z66" s="3">
        <f>Y66*1000</f>
        <v>73.450088500976563</v>
      </c>
      <c r="AB66" s="4">
        <f>1629135176.92524-1629135176.85131</f>
        <v>7.3930025100708008E-2</v>
      </c>
      <c r="AC66" s="3">
        <f>AB66*1000</f>
        <v>73.930025100708008</v>
      </c>
      <c r="AE66" s="4">
        <f>1629135176.92479-1629135176.85131</f>
        <v>7.3479890823364258E-2</v>
      </c>
      <c r="AF66" s="3">
        <f>AE66*1000</f>
        <v>73.479890823364258</v>
      </c>
    </row>
    <row r="67" spans="1:32" x14ac:dyDescent="0.3">
      <c r="A67" s="4">
        <f>1629135331.45204-1629135331.3861</f>
        <v>6.5939903259277344E-2</v>
      </c>
      <c r="B67" s="3">
        <f t="shared" ref="B67:B75" si="34">A67*1000</f>
        <v>65.939903259277344</v>
      </c>
      <c r="D67" s="4">
        <f>1629135331.45283-1629135331.3861</f>
        <v>6.6730022430419922E-2</v>
      </c>
      <c r="E67" s="3">
        <f t="shared" ref="E67:E75" si="35">D67*1000</f>
        <v>66.730022430419922</v>
      </c>
      <c r="G67" s="4">
        <f>1629135331.45206-1629135331.3861</f>
        <v>6.5959930419921875E-2</v>
      </c>
      <c r="H67" s="3">
        <f t="shared" ref="H67:H75" si="36">G67*1000</f>
        <v>65.959930419921875</v>
      </c>
      <c r="J67" s="4">
        <f>1629135331.45199-1629135331.3861</f>
        <v>6.5889835357666016E-2</v>
      </c>
      <c r="K67" s="3">
        <f t="shared" ref="K67:K75" si="37">J67*1000</f>
        <v>65.889835357666016</v>
      </c>
      <c r="M67" s="4">
        <f>1629135331.45252-1629135331.3861</f>
        <v>6.6419839859008789E-2</v>
      </c>
      <c r="N67" s="3">
        <f t="shared" ref="N67:N75" si="38">M67*1000</f>
        <v>66.419839859008789</v>
      </c>
      <c r="S67" s="4">
        <f>1629135177.9964-1629135177.92672</f>
        <v>6.9680213928222656E-2</v>
      </c>
      <c r="T67" s="3">
        <f t="shared" ref="T67:T75" si="39">S67*1000</f>
        <v>69.680213928222656</v>
      </c>
      <c r="V67" s="4">
        <f>1629135177.99702-1629135177.92672</f>
        <v>7.0300102233886719E-2</v>
      </c>
      <c r="W67" s="3">
        <f t="shared" ref="W67:W75" si="40">V67*1000</f>
        <v>70.300102233886719</v>
      </c>
      <c r="Y67" s="4">
        <f>1629135177.99646-1629135177.92672</f>
        <v>6.9740056991577148E-2</v>
      </c>
      <c r="Z67" s="3">
        <f t="shared" ref="Z67:Z75" si="41">Y67*1000</f>
        <v>69.740056991577148</v>
      </c>
      <c r="AB67" s="4">
        <f>1629135177.99735-1629135177.92672</f>
        <v>7.0630073547363281E-2</v>
      </c>
      <c r="AC67" s="3">
        <f t="shared" ref="AC67:AC75" si="42">AB67*1000</f>
        <v>70.630073547363281</v>
      </c>
      <c r="AE67" s="4">
        <f>1629135177.99655-1629135177.92672</f>
        <v>6.9830179214477539E-2</v>
      </c>
      <c r="AF67" s="3">
        <f t="shared" ref="AF67:AF75" si="43">AE67*1000</f>
        <v>69.830179214477539</v>
      </c>
    </row>
    <row r="68" spans="1:32" x14ac:dyDescent="0.3">
      <c r="A68" s="4">
        <f>1629135332.52408-1629135332.45751</f>
        <v>6.6570043563842773E-2</v>
      </c>
      <c r="B68" s="3">
        <f t="shared" si="34"/>
        <v>66.570043563842773</v>
      </c>
      <c r="D68" s="4">
        <f>1629135332.52456-1629135332.45751</f>
        <v>6.7049980163574219E-2</v>
      </c>
      <c r="E68" s="3">
        <f t="shared" si="35"/>
        <v>67.049980163574219</v>
      </c>
      <c r="G68" s="4">
        <f>1629135332.52402-1629135332.45751</f>
        <v>6.650996208190918E-2</v>
      </c>
      <c r="H68" s="3">
        <f t="shared" si="36"/>
        <v>66.50996208190918</v>
      </c>
      <c r="J68" s="4">
        <f>1629135332.52401-1629135332.45751</f>
        <v>6.6499948501586914E-2</v>
      </c>
      <c r="K68" s="3">
        <f t="shared" si="37"/>
        <v>66.499948501586914</v>
      </c>
      <c r="M68" s="4">
        <f>1629135332.52459-1629135332.45751</f>
        <v>6.7080020904541016E-2</v>
      </c>
      <c r="N68" s="3">
        <f t="shared" si="38"/>
        <v>67.080020904541016</v>
      </c>
      <c r="S68" s="4">
        <f>1629135179.06841-1629135178.99826</f>
        <v>7.0149898529052734E-2</v>
      </c>
      <c r="T68" s="3">
        <f t="shared" si="39"/>
        <v>70.149898529052734</v>
      </c>
      <c r="V68" s="4">
        <f>1629135179.06912-1629135178.99826</f>
        <v>7.0859909057617188E-2</v>
      </c>
      <c r="W68" s="3">
        <f t="shared" si="40"/>
        <v>70.859909057617188</v>
      </c>
      <c r="Y68" s="4">
        <f>1629135179.06849-1629135178.99826</f>
        <v>7.0230007171630859E-2</v>
      </c>
      <c r="Z68" s="3">
        <f t="shared" si="41"/>
        <v>70.230007171630859</v>
      </c>
      <c r="AB68" s="4">
        <f>1629135179.06933-1629135178.99826</f>
        <v>7.1069955825805664E-2</v>
      </c>
      <c r="AC68" s="3">
        <f t="shared" si="42"/>
        <v>71.069955825805664</v>
      </c>
      <c r="AE68" s="4">
        <f>1629135179.06856-1629135178.99826</f>
        <v>7.0299863815307617E-2</v>
      </c>
      <c r="AF68" s="3">
        <f t="shared" si="43"/>
        <v>70.299863815307617</v>
      </c>
    </row>
    <row r="69" spans="1:32" x14ac:dyDescent="0.3">
      <c r="A69" s="4">
        <f>1629135333.59596-1629135333.5298</f>
        <v>6.6159963607788086E-2</v>
      </c>
      <c r="B69" s="3">
        <f t="shared" si="34"/>
        <v>66.159963607788086</v>
      </c>
      <c r="D69" s="4">
        <f>1629135333.59607-1629135333.5298</f>
        <v>6.6270112991333008E-2</v>
      </c>
      <c r="E69" s="3">
        <f t="shared" si="35"/>
        <v>66.270112991333008</v>
      </c>
      <c r="G69" s="4">
        <f>1629135333.59596-1629135333.5298</f>
        <v>6.6159963607788086E-2</v>
      </c>
      <c r="H69" s="3">
        <f t="shared" si="36"/>
        <v>66.159963607788086</v>
      </c>
      <c r="J69" s="4">
        <f>1629135333.59596-1629135333.5298</f>
        <v>6.6159963607788086E-2</v>
      </c>
      <c r="K69" s="3">
        <f t="shared" si="37"/>
        <v>66.159963607788086</v>
      </c>
      <c r="M69" s="4">
        <f>1629135333.5965-1629135333.5298</f>
        <v>6.6699981689453125E-2</v>
      </c>
      <c r="N69" s="3">
        <f t="shared" si="38"/>
        <v>66.699981689453125</v>
      </c>
      <c r="S69" s="4">
        <f>1629135180.1405-1629135180.07056</f>
        <v>6.9940090179443359E-2</v>
      </c>
      <c r="T69" s="3">
        <f t="shared" si="39"/>
        <v>69.940090179443359</v>
      </c>
      <c r="V69" s="4">
        <f>1629135180.14106-1629135180.07056</f>
        <v>7.050013542175293E-2</v>
      </c>
      <c r="W69" s="3">
        <f t="shared" si="40"/>
        <v>70.50013542175293</v>
      </c>
      <c r="Y69" s="4">
        <f>1629135180.14056-1629135180.07056</f>
        <v>6.9999933242797852E-2</v>
      </c>
      <c r="Z69" s="3">
        <f t="shared" si="41"/>
        <v>69.999933242797852</v>
      </c>
      <c r="AB69" s="4">
        <f>1629135180.14116-1629135180.07056</f>
        <v>7.0600032806396484E-2</v>
      </c>
      <c r="AC69" s="3">
        <f t="shared" si="42"/>
        <v>70.600032806396484</v>
      </c>
      <c r="AE69" s="4">
        <f>1629135180.14061-1629135180.07056</f>
        <v>7.005000114440918E-2</v>
      </c>
      <c r="AF69" s="3">
        <f t="shared" si="43"/>
        <v>70.05000114440918</v>
      </c>
    </row>
    <row r="70" spans="1:32" x14ac:dyDescent="0.3">
      <c r="A70" s="4">
        <f>1629135334.66803-1629135334.60144</f>
        <v>6.6590070724487305E-2</v>
      </c>
      <c r="B70" s="3">
        <f t="shared" si="34"/>
        <v>66.590070724487305</v>
      </c>
      <c r="D70" s="4">
        <f>1629135334.66803-1629135334.60144</f>
        <v>6.6590070724487305E-2</v>
      </c>
      <c r="E70" s="3">
        <f t="shared" si="35"/>
        <v>66.590070724487305</v>
      </c>
      <c r="G70" s="4">
        <f>1629135334.66815-1629135334.60144</f>
        <v>6.6709995269775391E-2</v>
      </c>
      <c r="H70" s="3">
        <f t="shared" si="36"/>
        <v>66.709995269775391</v>
      </c>
      <c r="J70" s="4">
        <f>1629135334.66803-1629135334.60144</f>
        <v>6.6590070724487305E-2</v>
      </c>
      <c r="K70" s="3">
        <f t="shared" si="37"/>
        <v>66.590070724487305</v>
      </c>
      <c r="M70" s="4">
        <f>1629135334.66859-1629135334.60144</f>
        <v>6.7150115966796875E-2</v>
      </c>
      <c r="N70" s="3">
        <f t="shared" si="38"/>
        <v>67.150115966796875</v>
      </c>
      <c r="S70" s="4">
        <f>1629135181.21235-1629135181.14242</f>
        <v>6.9929838180541992E-2</v>
      </c>
      <c r="T70" s="3">
        <f t="shared" si="39"/>
        <v>69.929838180541992</v>
      </c>
      <c r="V70" s="4">
        <f>1629135181.21299-1629135181.14242</f>
        <v>7.0569992065429688E-2</v>
      </c>
      <c r="W70" s="3">
        <f t="shared" si="40"/>
        <v>70.569992065429688</v>
      </c>
      <c r="Y70" s="4">
        <f>1629135181.21243-1629135181.14242</f>
        <v>7.0009946823120117E-2</v>
      </c>
      <c r="Z70" s="3">
        <f t="shared" si="41"/>
        <v>70.009946823120117</v>
      </c>
      <c r="AB70" s="4">
        <f>1629135181.21305-1629135181.14242</f>
        <v>7.062983512878418E-2</v>
      </c>
      <c r="AC70" s="3">
        <f t="shared" si="42"/>
        <v>70.62983512878418</v>
      </c>
      <c r="AE70" s="4">
        <f>1629135181.21248-1629135181.14242</f>
        <v>7.0060014724731445E-2</v>
      </c>
      <c r="AF70" s="3">
        <f t="shared" si="43"/>
        <v>70.060014724731445</v>
      </c>
    </row>
    <row r="71" spans="1:32" x14ac:dyDescent="0.3">
      <c r="A71" s="4">
        <f>1629135335.7401-1629135335.67394</f>
        <v>6.6159963607788086E-2</v>
      </c>
      <c r="B71" s="3">
        <f t="shared" si="34"/>
        <v>66.159963607788086</v>
      </c>
      <c r="D71" s="4">
        <f>1629135335.73998-1629135335.67394</f>
        <v>6.60400390625E-2</v>
      </c>
      <c r="E71" s="3">
        <f t="shared" si="35"/>
        <v>66.0400390625</v>
      </c>
      <c r="G71" s="4">
        <f>1629135335.73998-1629135335.67394</f>
        <v>6.60400390625E-2</v>
      </c>
      <c r="H71" s="3">
        <f t="shared" si="36"/>
        <v>66.0400390625</v>
      </c>
      <c r="J71" s="4">
        <f>1629135335.73998-1629135335.67394</f>
        <v>6.60400390625E-2</v>
      </c>
      <c r="K71" s="3">
        <f t="shared" si="37"/>
        <v>66.0400390625</v>
      </c>
      <c r="M71" s="4">
        <f>1629135335.74067-1629135335.67394</f>
        <v>6.6730022430419922E-2</v>
      </c>
      <c r="N71" s="3">
        <f t="shared" si="38"/>
        <v>66.730022430419922</v>
      </c>
      <c r="S71" s="4">
        <f>1629135182.28439-1629135182.21446</f>
        <v>6.9930076599121094E-2</v>
      </c>
      <c r="T71" s="3">
        <f t="shared" si="39"/>
        <v>69.930076599121094</v>
      </c>
      <c r="V71" s="4">
        <f>1629135182.28514-1629135182.21446</f>
        <v>7.0680141448974609E-2</v>
      </c>
      <c r="W71" s="3">
        <f t="shared" si="40"/>
        <v>70.680141448974609</v>
      </c>
      <c r="Y71" s="4">
        <f>1629135182.28447-1629135182.21446</f>
        <v>7.0010185241699219E-2</v>
      </c>
      <c r="Z71" s="3">
        <f t="shared" si="41"/>
        <v>70.010185241699219</v>
      </c>
      <c r="AB71" s="4">
        <f>1629135182.28524-1629135182.21446</f>
        <v>7.0780038833618164E-2</v>
      </c>
      <c r="AC71" s="3">
        <f t="shared" si="42"/>
        <v>70.780038833618164</v>
      </c>
      <c r="AE71" s="4">
        <f>1629135182.28468-1629135182.21446</f>
        <v>7.0219993591308594E-2</v>
      </c>
      <c r="AF71" s="3">
        <f t="shared" si="43"/>
        <v>70.219993591308594</v>
      </c>
    </row>
    <row r="72" spans="1:32" x14ac:dyDescent="0.3">
      <c r="A72" s="4">
        <f>1629135336.81216-1629135336.74598</f>
        <v>6.6179990768432617E-2</v>
      </c>
      <c r="B72" s="3">
        <f t="shared" si="34"/>
        <v>66.179990768432617</v>
      </c>
      <c r="D72" s="4">
        <f>1629135336.81234-1629135336.74598</f>
        <v>6.6359996795654297E-2</v>
      </c>
      <c r="E72" s="3">
        <f t="shared" si="35"/>
        <v>66.359996795654297</v>
      </c>
      <c r="G72" s="4">
        <f>1629135336.81216-1629135336.74598</f>
        <v>6.6179990768432617E-2</v>
      </c>
      <c r="H72" s="3">
        <f t="shared" si="36"/>
        <v>66.179990768432617</v>
      </c>
      <c r="J72" s="4">
        <f>1629135336.81216-1629135336.74598</f>
        <v>6.6179990768432617E-2</v>
      </c>
      <c r="K72" s="3">
        <f t="shared" si="37"/>
        <v>66.179990768432617</v>
      </c>
      <c r="M72" s="4">
        <f>1629135336.81284-1629135336.74598</f>
        <v>6.6859960556030273E-2</v>
      </c>
      <c r="N72" s="3">
        <f t="shared" si="38"/>
        <v>66.859960556030273</v>
      </c>
      <c r="S72" s="4">
        <f>1629135183.3564-1629135183.28589</f>
        <v>7.0509910583496094E-2</v>
      </c>
      <c r="T72" s="3">
        <f t="shared" si="39"/>
        <v>70.509910583496094</v>
      </c>
      <c r="V72" s="4">
        <f>1629135183.35696-1629135183.28589</f>
        <v>7.1069955825805664E-2</v>
      </c>
      <c r="W72" s="3">
        <f t="shared" si="40"/>
        <v>71.069955825805664</v>
      </c>
      <c r="Y72" s="4">
        <f>1629135183.35646-1629135183.28589</f>
        <v>7.0569992065429688E-2</v>
      </c>
      <c r="Z72" s="3">
        <f t="shared" si="41"/>
        <v>70.569992065429688</v>
      </c>
      <c r="AB72" s="4">
        <f>1629135183.35707-1629135183.28589</f>
        <v>7.1179866790771484E-2</v>
      </c>
      <c r="AC72" s="3">
        <f t="shared" si="42"/>
        <v>71.179866790771484</v>
      </c>
      <c r="AE72" s="4">
        <f>1629135183.3565-1629135183.28589</f>
        <v>7.0609807968139648E-2</v>
      </c>
      <c r="AF72" s="3">
        <f t="shared" si="43"/>
        <v>70.609807968139648</v>
      </c>
    </row>
    <row r="73" spans="1:32" x14ac:dyDescent="0.3">
      <c r="A73" s="4">
        <f>1629135337.88397-1629135337.81804</f>
        <v>6.593012809753418E-2</v>
      </c>
      <c r="B73" s="3">
        <f t="shared" si="34"/>
        <v>65.93012809753418</v>
      </c>
      <c r="D73" s="4">
        <f>1629135337.88397-1629135337.81804</f>
        <v>6.593012809753418E-2</v>
      </c>
      <c r="E73" s="3">
        <f t="shared" si="35"/>
        <v>65.93012809753418</v>
      </c>
      <c r="G73" s="4">
        <f>1629135337.88409-1629135337.81804</f>
        <v>6.6050052642822266E-2</v>
      </c>
      <c r="H73" s="3">
        <f t="shared" si="36"/>
        <v>66.050052642822266</v>
      </c>
      <c r="J73" s="4">
        <f>1629135337.88397-1629135337.81804</f>
        <v>6.593012809753418E-2</v>
      </c>
      <c r="K73" s="3">
        <f t="shared" si="37"/>
        <v>65.93012809753418</v>
      </c>
      <c r="M73" s="4">
        <f>1629135337.88464-1629135337.81804</f>
        <v>6.660008430480957E-2</v>
      </c>
      <c r="N73" s="3">
        <f t="shared" si="38"/>
        <v>66.60008430480957</v>
      </c>
      <c r="S73" s="4">
        <f>1629135184.42836-1629135184.35837</f>
        <v>6.9989919662475586E-2</v>
      </c>
      <c r="T73" s="3">
        <f t="shared" si="39"/>
        <v>69.989919662475586</v>
      </c>
      <c r="V73" s="4">
        <f>1629135184.42907-1629135184.35837</f>
        <v>7.0699930191040039E-2</v>
      </c>
      <c r="W73" s="3">
        <f t="shared" si="40"/>
        <v>70.699930191040039</v>
      </c>
      <c r="Y73" s="4">
        <f>1629135184.42845-1629135184.35837</f>
        <v>7.0080041885375977E-2</v>
      </c>
      <c r="Z73" s="3">
        <f t="shared" si="41"/>
        <v>70.080041885375977</v>
      </c>
      <c r="AB73" s="4">
        <f>1629135184.42902-1629135184.35837</f>
        <v>7.0649862289428711E-2</v>
      </c>
      <c r="AC73" s="3">
        <f t="shared" si="42"/>
        <v>70.649862289428711</v>
      </c>
      <c r="AE73" s="4">
        <f>1629135184.4285-1629135184.35837</f>
        <v>7.0129871368408203E-2</v>
      </c>
      <c r="AF73" s="3">
        <f t="shared" si="43"/>
        <v>70.129871368408203</v>
      </c>
    </row>
    <row r="74" spans="1:32" x14ac:dyDescent="0.3">
      <c r="A74" s="4">
        <f>1629135338.95998-1629135338.88999</f>
        <v>6.9989919662475586E-2</v>
      </c>
      <c r="B74" s="3">
        <f t="shared" si="34"/>
        <v>69.989919662475586</v>
      </c>
      <c r="D74" s="4">
        <f>1629135338.95998-1629135338.88999</f>
        <v>6.9989919662475586E-2</v>
      </c>
      <c r="E74" s="3">
        <f t="shared" si="35"/>
        <v>69.989919662475586</v>
      </c>
      <c r="G74" s="4">
        <f>1629135338.96009-1629135338.88999</f>
        <v>7.0099830627441406E-2</v>
      </c>
      <c r="H74" s="3">
        <f t="shared" si="36"/>
        <v>70.099830627441406</v>
      </c>
      <c r="J74" s="4">
        <f>1629135338.95998-1629135338.88999</f>
        <v>6.9989919662475586E-2</v>
      </c>
      <c r="K74" s="3">
        <f t="shared" si="37"/>
        <v>69.989919662475586</v>
      </c>
      <c r="M74" s="4">
        <f>1629135338.96052-1629135338.88999</f>
        <v>7.0529937744140625E-2</v>
      </c>
      <c r="N74" s="3">
        <f t="shared" si="38"/>
        <v>70.529937744140625</v>
      </c>
      <c r="S74" s="4">
        <f>1629135185.50031-1629135185.43034</f>
        <v>6.9969892501831055E-2</v>
      </c>
      <c r="T74" s="3">
        <f t="shared" si="39"/>
        <v>69.969892501831055</v>
      </c>
      <c r="V74" s="4">
        <f>1629135185.50091-1629135185.43034</f>
        <v>7.0569992065429688E-2</v>
      </c>
      <c r="W74" s="3">
        <f t="shared" si="40"/>
        <v>70.569992065429688</v>
      </c>
      <c r="Y74" s="4">
        <f>1629135185.50035-1629135185.43034</f>
        <v>7.0009946823120117E-2</v>
      </c>
      <c r="Z74" s="3">
        <f t="shared" si="41"/>
        <v>70.009946823120117</v>
      </c>
      <c r="AB74" s="4">
        <f>1629135185.50123-1629135185.43034</f>
        <v>7.0889949798583984E-2</v>
      </c>
      <c r="AC74" s="3">
        <f t="shared" si="42"/>
        <v>70.889949798583984</v>
      </c>
      <c r="AE74" s="4">
        <f>1629135185.50045-1629135185.43034</f>
        <v>7.0109844207763672E-2</v>
      </c>
      <c r="AF74" s="3">
        <f t="shared" si="43"/>
        <v>70.109844207763672</v>
      </c>
    </row>
    <row r="75" spans="1:32" x14ac:dyDescent="0.3">
      <c r="A75" s="4">
        <f>1629135340.02801-1629135339.9655</f>
        <v>6.2509775161743164E-2</v>
      </c>
      <c r="B75" s="3">
        <f t="shared" si="34"/>
        <v>62.509775161743164</v>
      </c>
      <c r="D75" s="4">
        <f>1629135340.0279-1629135339.9655</f>
        <v>6.2399864196777344E-2</v>
      </c>
      <c r="E75" s="3">
        <f t="shared" si="35"/>
        <v>62.399864196777344</v>
      </c>
      <c r="G75" s="4">
        <f>1629135340.0279-1629135339.9655</f>
        <v>6.2399864196777344E-2</v>
      </c>
      <c r="H75" s="3">
        <f t="shared" si="36"/>
        <v>62.399864196777344</v>
      </c>
      <c r="J75" s="4">
        <f>1629135340.0279-1629135339.9655</f>
        <v>6.2399864196777344E-2</v>
      </c>
      <c r="K75" s="3">
        <f t="shared" si="37"/>
        <v>62.399864196777344</v>
      </c>
      <c r="M75" s="4">
        <f>1629135340.03261-1629135339.9655</f>
        <v>6.7109823226928711E-2</v>
      </c>
      <c r="N75" s="3">
        <f t="shared" si="38"/>
        <v>67.109823226928711</v>
      </c>
      <c r="S75" s="4">
        <f>1629135186.57228-1629135186.50223</f>
        <v>7.005000114440918E-2</v>
      </c>
      <c r="T75" s="3">
        <f t="shared" si="39"/>
        <v>70.05000114440918</v>
      </c>
      <c r="V75" s="4">
        <f>1629135186.57726-1629135186.50223</f>
        <v>7.5030088424682617E-2</v>
      </c>
      <c r="W75" s="3">
        <f t="shared" si="40"/>
        <v>75.030088424682617</v>
      </c>
      <c r="Y75" s="4">
        <f>1629135186.57237-1629135186.50223</f>
        <v>7.014012336730957E-2</v>
      </c>
      <c r="Z75" s="3">
        <f t="shared" si="41"/>
        <v>70.14012336730957</v>
      </c>
      <c r="AB75" s="4">
        <f>1629135186.5743-1629135186.50223</f>
        <v>7.2070121765136719E-2</v>
      </c>
      <c r="AC75" s="3">
        <f t="shared" si="42"/>
        <v>72.070121765136719</v>
      </c>
      <c r="AE75" s="4">
        <f>1629135186.57242-1629135186.50223</f>
        <v>7.0189952850341797E-2</v>
      </c>
      <c r="AF75" s="3">
        <f t="shared" si="43"/>
        <v>70.189952850341797</v>
      </c>
    </row>
    <row r="76" spans="1:32" x14ac:dyDescent="0.3">
      <c r="B76" s="2">
        <f>AVERAGE(B66:B75)</f>
        <v>66.248989105224609</v>
      </c>
      <c r="E76" s="2">
        <f>AVERAGE(E66:E75)</f>
        <v>66.428017616271973</v>
      </c>
      <c r="H76" s="2">
        <f>AVERAGE(H66:H75)</f>
        <v>66.259956359863281</v>
      </c>
      <c r="K76" s="2">
        <f>AVERAGE(K66:K75)</f>
        <v>66.211986541748047</v>
      </c>
      <c r="N76" s="2">
        <f>AVERAGE(N66:N75)</f>
        <v>67.238974571228027</v>
      </c>
      <c r="T76" s="2">
        <f>AVERAGE(T66:T75)</f>
        <v>70.357990264892578</v>
      </c>
      <c r="W76" s="2">
        <f>AVERAGE(W66:W75)</f>
        <v>71.451020240783691</v>
      </c>
      <c r="Z76" s="2">
        <f>AVERAGE(Z66:Z75)</f>
        <v>70.424032211303711</v>
      </c>
      <c r="AC76" s="2">
        <f>AVERAGE(AC66:AC75)</f>
        <v>71.242976188659668</v>
      </c>
      <c r="AF76" s="2">
        <f>AVERAGE(AF66:AF75)</f>
        <v>70.497941970825195</v>
      </c>
    </row>
    <row r="78" spans="1:32" x14ac:dyDescent="0.3">
      <c r="A78" s="6" t="s">
        <v>57</v>
      </c>
      <c r="B78" s="6"/>
      <c r="D78" s="6" t="s">
        <v>58</v>
      </c>
      <c r="E78" s="6"/>
      <c r="G78" s="6" t="s">
        <v>59</v>
      </c>
      <c r="H78" s="6"/>
      <c r="J78" s="6" t="s">
        <v>60</v>
      </c>
      <c r="K78" s="6"/>
      <c r="M78" s="6" t="s">
        <v>61</v>
      </c>
      <c r="N78" s="6"/>
      <c r="S78" s="6" t="s">
        <v>57</v>
      </c>
      <c r="T78" s="6"/>
      <c r="V78" s="6" t="s">
        <v>58</v>
      </c>
      <c r="W78" s="6"/>
      <c r="Y78" s="6" t="s">
        <v>59</v>
      </c>
      <c r="Z78" s="6"/>
      <c r="AB78" s="6" t="s">
        <v>60</v>
      </c>
      <c r="AC78" s="6"/>
      <c r="AE78" s="6" t="s">
        <v>61</v>
      </c>
      <c r="AF78" s="6"/>
    </row>
    <row r="79" spans="1:32" ht="45" customHeight="1" x14ac:dyDescent="0.3">
      <c r="A79" s="8" t="s">
        <v>62</v>
      </c>
      <c r="B79" s="8"/>
      <c r="D79" s="8" t="s">
        <v>62</v>
      </c>
      <c r="E79" s="8"/>
      <c r="G79" s="8" t="s">
        <v>62</v>
      </c>
      <c r="H79" s="8"/>
      <c r="J79" s="8" t="s">
        <v>62</v>
      </c>
      <c r="K79" s="8"/>
      <c r="M79" s="8" t="s">
        <v>62</v>
      </c>
      <c r="N79" s="8"/>
      <c r="S79" s="8" t="s">
        <v>63</v>
      </c>
      <c r="T79" s="8"/>
      <c r="V79" s="8" t="s">
        <v>63</v>
      </c>
      <c r="W79" s="8"/>
      <c r="Y79" s="8" t="s">
        <v>63</v>
      </c>
      <c r="Z79" s="8"/>
      <c r="AB79" s="8" t="s">
        <v>63</v>
      </c>
      <c r="AC79" s="8"/>
      <c r="AE79" s="8" t="s">
        <v>63</v>
      </c>
      <c r="AF79" s="8"/>
    </row>
    <row r="80" spans="1:32" x14ac:dyDescent="0.3">
      <c r="A80" s="1" t="s">
        <v>1</v>
      </c>
      <c r="B80" s="1" t="s">
        <v>0</v>
      </c>
      <c r="D80" s="1" t="s">
        <v>1</v>
      </c>
      <c r="E80" s="1" t="s">
        <v>0</v>
      </c>
      <c r="G80" s="1" t="s">
        <v>1</v>
      </c>
      <c r="H80" s="1" t="s">
        <v>0</v>
      </c>
      <c r="J80" s="1" t="s">
        <v>1</v>
      </c>
      <c r="K80" s="1" t="s">
        <v>0</v>
      </c>
      <c r="M80" s="1" t="s">
        <v>1</v>
      </c>
      <c r="N80" s="1" t="s">
        <v>0</v>
      </c>
      <c r="S80" s="1" t="s">
        <v>1</v>
      </c>
      <c r="T80" s="1" t="s">
        <v>0</v>
      </c>
      <c r="V80" s="1" t="s">
        <v>1</v>
      </c>
      <c r="W80" s="1" t="s">
        <v>0</v>
      </c>
      <c r="Y80" s="1" t="s">
        <v>1</v>
      </c>
      <c r="Z80" s="1" t="s">
        <v>0</v>
      </c>
      <c r="AB80" s="1" t="s">
        <v>1</v>
      </c>
      <c r="AC80" s="1" t="s">
        <v>0</v>
      </c>
      <c r="AE80" s="1" t="s">
        <v>1</v>
      </c>
      <c r="AF80" s="1" t="s">
        <v>0</v>
      </c>
    </row>
    <row r="81" spans="1:32" x14ac:dyDescent="0.3">
      <c r="A81" s="4">
        <f>1629135330.38099-1629135330.31371</f>
        <v>6.7280054092407227E-2</v>
      </c>
      <c r="B81" s="3">
        <f>A81*1000</f>
        <v>67.280054092407227</v>
      </c>
      <c r="D81" s="4">
        <f>1629135330.3817-1629135330.31371</f>
        <v>6.799006462097168E-2</v>
      </c>
      <c r="E81" s="3">
        <f>D81*1000</f>
        <v>67.99006462097168</v>
      </c>
      <c r="G81" s="4">
        <f>1629135330.38093-1629135330.31371</f>
        <v>6.7219972610473633E-2</v>
      </c>
      <c r="H81" s="3">
        <f>G81*1000</f>
        <v>67.219972610473633</v>
      </c>
      <c r="J81" s="4">
        <f>1629135330.38129-1629135330.31371</f>
        <v>6.7579984664916992E-2</v>
      </c>
      <c r="K81" s="3">
        <f>J81*1000</f>
        <v>67.579984664916992</v>
      </c>
      <c r="M81" s="4">
        <f>1629135330.38093-1629135330.31371</f>
        <v>6.7219972610473633E-2</v>
      </c>
      <c r="N81" s="3">
        <f>M81*1000</f>
        <v>67.219972610473633</v>
      </c>
      <c r="S81" s="4">
        <f>1629135176.924-1629135176.85131</f>
        <v>7.2690010070800781E-2</v>
      </c>
      <c r="T81" s="3">
        <f>S81*1000</f>
        <v>72.690010070800781</v>
      </c>
      <c r="V81" s="4">
        <f>1629135176.92345-1629135176.85131</f>
        <v>7.2139978408813477E-2</v>
      </c>
      <c r="W81" s="3">
        <f>V81*1000</f>
        <v>72.139978408813477</v>
      </c>
      <c r="Y81" s="4">
        <f>1629135176.92419-1629135176.85131</f>
        <v>7.2880029678344727E-2</v>
      </c>
      <c r="Z81" s="3">
        <f>Y81*1000</f>
        <v>72.880029678344727</v>
      </c>
      <c r="AB81" s="4">
        <f>1629135176.92339-1629135176.85131</f>
        <v>7.2079896926879883E-2</v>
      </c>
      <c r="AC81" s="3">
        <f>AB81*1000</f>
        <v>72.079896926879883</v>
      </c>
      <c r="AE81" s="4">
        <f>1629135176.92362-1629135176.85131</f>
        <v>7.2309970855712891E-2</v>
      </c>
      <c r="AF81" s="3">
        <f>AE81*1000</f>
        <v>72.309970855712891</v>
      </c>
    </row>
    <row r="82" spans="1:32" x14ac:dyDescent="0.3">
      <c r="A82" s="4">
        <f>1629135331.4529-1629135331.3861</f>
        <v>6.679987907409668E-2</v>
      </c>
      <c r="B82" s="3">
        <f t="shared" ref="B82:B90" si="44">A82*1000</f>
        <v>66.79987907409668</v>
      </c>
      <c r="D82" s="4">
        <f>1629135331.45345-1629135331.3861</f>
        <v>6.7349910736083984E-2</v>
      </c>
      <c r="E82" s="3">
        <f t="shared" ref="E82:E90" si="45">D82*1000</f>
        <v>67.349910736083984</v>
      </c>
      <c r="G82" s="4">
        <f>1629135331.45298-1629135331.3861</f>
        <v>6.6879987716674805E-2</v>
      </c>
      <c r="H82" s="3">
        <f t="shared" ref="H82:H90" si="46">G82*1000</f>
        <v>66.879987716674805</v>
      </c>
      <c r="J82" s="4">
        <f>1629135331.45349-1629135331.3861</f>
        <v>6.7389965057373047E-2</v>
      </c>
      <c r="K82" s="3">
        <f t="shared" ref="K82:K90" si="47">J82*1000</f>
        <v>67.389965057373047</v>
      </c>
      <c r="M82" s="4">
        <f>1629135331.45295-1629135331.3861</f>
        <v>6.6849946975708008E-2</v>
      </c>
      <c r="N82" s="3">
        <f t="shared" ref="N82:N90" si="48">M82*1000</f>
        <v>66.849946975708008</v>
      </c>
      <c r="S82" s="4">
        <f>1629135177.99605-1629135177.92672</f>
        <v>6.9329977035522461E-2</v>
      </c>
      <c r="T82" s="3">
        <f t="shared" ref="T82:T90" si="49">S82*1000</f>
        <v>69.329977035522461</v>
      </c>
      <c r="V82" s="4">
        <f>1629135177.99514-1629135177.92672</f>
        <v>6.8420171737670898E-2</v>
      </c>
      <c r="W82" s="3">
        <f t="shared" ref="W82:W90" si="50">V82*1000</f>
        <v>68.420171737670898</v>
      </c>
      <c r="Y82" s="4">
        <f>1629135177.99576-1629135177.92672</f>
        <v>6.9040060043334961E-2</v>
      </c>
      <c r="Z82" s="3">
        <f t="shared" ref="Z82:Z90" si="51">Y82*1000</f>
        <v>69.040060043334961</v>
      </c>
      <c r="AB82" s="4">
        <f>1629135177.99521-1629135177.92672</f>
        <v>6.8490028381347656E-2</v>
      </c>
      <c r="AC82" s="3">
        <f t="shared" ref="AC82:AC90" si="52">AB82*1000</f>
        <v>68.490028381347656</v>
      </c>
      <c r="AE82" s="4">
        <f>1629135177.99539-1629135177.92672</f>
        <v>6.8670034408569336E-2</v>
      </c>
      <c r="AF82" s="3">
        <f t="shared" ref="AF82:AF90" si="53">AE82*1000</f>
        <v>68.670034408569336</v>
      </c>
    </row>
    <row r="83" spans="1:32" x14ac:dyDescent="0.3">
      <c r="A83" s="4">
        <f>1629135332.52482-1629135332.45751</f>
        <v>6.7310094833374023E-2</v>
      </c>
      <c r="B83" s="3">
        <f t="shared" si="44"/>
        <v>67.310094833374023</v>
      </c>
      <c r="D83" s="4">
        <f>1629135332.52532-1629135332.45751</f>
        <v>6.781005859375E-2</v>
      </c>
      <c r="E83" s="3">
        <f t="shared" si="45"/>
        <v>67.81005859375</v>
      </c>
      <c r="G83" s="4">
        <f>1629135332.52476-1629135332.45751</f>
        <v>6.725001335144043E-2</v>
      </c>
      <c r="H83" s="3">
        <f t="shared" si="46"/>
        <v>67.25001335144043</v>
      </c>
      <c r="J83" s="4">
        <f>1629135332.52526-1629135332.45751</f>
        <v>6.7749977111816406E-2</v>
      </c>
      <c r="K83" s="3">
        <f t="shared" si="47"/>
        <v>67.749977111816406</v>
      </c>
      <c r="M83" s="4">
        <f>1629135332.52484-1629135332.45751</f>
        <v>6.7330121994018555E-2</v>
      </c>
      <c r="N83" s="3">
        <f t="shared" si="48"/>
        <v>67.330121994018555</v>
      </c>
      <c r="S83" s="4">
        <f>1629135179.06782-1629135178.99826</f>
        <v>6.9560050964355469E-2</v>
      </c>
      <c r="T83" s="3">
        <f t="shared" si="49"/>
        <v>69.560050964355469</v>
      </c>
      <c r="V83" s="4">
        <f>1629135179.06717-1629135178.99826</f>
        <v>6.8909883499145508E-2</v>
      </c>
      <c r="W83" s="3">
        <f t="shared" si="50"/>
        <v>68.909883499145508</v>
      </c>
      <c r="Y83" s="4">
        <f>1629135179.06788-1629135178.99826</f>
        <v>6.9619894027709961E-2</v>
      </c>
      <c r="Z83" s="3">
        <f t="shared" si="51"/>
        <v>69.619894027709961</v>
      </c>
      <c r="AB83" s="4">
        <f>1629135179.06724-1629135178.99826</f>
        <v>6.8979978561401367E-2</v>
      </c>
      <c r="AC83" s="3">
        <f t="shared" si="52"/>
        <v>68.979978561401367</v>
      </c>
      <c r="AE83" s="4">
        <f>1629135179.06741-1629135178.99826</f>
        <v>6.9149971008300781E-2</v>
      </c>
      <c r="AF83" s="3">
        <f t="shared" si="53"/>
        <v>69.149971008300781</v>
      </c>
    </row>
    <row r="84" spans="1:32" x14ac:dyDescent="0.3">
      <c r="A84" s="4">
        <f>1629135333.59682-1629135333.5298</f>
        <v>6.7020177841186523E-2</v>
      </c>
      <c r="B84" s="3">
        <f t="shared" si="44"/>
        <v>67.020177841186523</v>
      </c>
      <c r="D84" s="4">
        <f>1629135333.5974-1629135333.5298</f>
        <v>6.7600011825561523E-2</v>
      </c>
      <c r="E84" s="3">
        <f t="shared" si="45"/>
        <v>67.600011825561523</v>
      </c>
      <c r="G84" s="4">
        <f>1629135333.59694-1629135333.5298</f>
        <v>6.7140102386474609E-2</v>
      </c>
      <c r="H84" s="3">
        <f t="shared" si="46"/>
        <v>67.140102386474609</v>
      </c>
      <c r="J84" s="4">
        <f>1629135333.59682-1629135333.5298</f>
        <v>6.7020177841186523E-2</v>
      </c>
      <c r="K84" s="3">
        <f t="shared" si="47"/>
        <v>67.020177841186523</v>
      </c>
      <c r="M84" s="4">
        <f>1629135333.59682-1629135333.5298</f>
        <v>6.7020177841186523E-2</v>
      </c>
      <c r="N84" s="3">
        <f t="shared" si="48"/>
        <v>67.020177841186523</v>
      </c>
      <c r="S84" s="4">
        <f>1629135180.14011-1629135180.07056</f>
        <v>6.9550037384033203E-2</v>
      </c>
      <c r="T84" s="3">
        <f t="shared" si="49"/>
        <v>69.550037384033203</v>
      </c>
      <c r="V84" s="4">
        <f>1629135180.13928-1629135180.07056</f>
        <v>6.8720102310180664E-2</v>
      </c>
      <c r="W84" s="3">
        <f t="shared" si="50"/>
        <v>68.720102310180664</v>
      </c>
      <c r="Y84" s="4">
        <f>1629135180.13988-1629135180.07056</f>
        <v>6.9319963455200195E-2</v>
      </c>
      <c r="Z84" s="3">
        <f t="shared" si="51"/>
        <v>69.319963455200195</v>
      </c>
      <c r="AB84" s="4">
        <f>1629135180.13934-1629135180.07056</f>
        <v>6.8779945373535156E-2</v>
      </c>
      <c r="AC84" s="3">
        <f t="shared" si="52"/>
        <v>68.779945373535156</v>
      </c>
      <c r="AE84" s="4">
        <f>1629135180.13947-1629135180.07056</f>
        <v>6.8910121917724609E-2</v>
      </c>
      <c r="AF84" s="3">
        <f t="shared" si="53"/>
        <v>68.910121917724609</v>
      </c>
    </row>
    <row r="85" spans="1:32" x14ac:dyDescent="0.3">
      <c r="A85" s="4">
        <f>1629135334.66874-1629135334.60144</f>
        <v>6.7300081253051758E-2</v>
      </c>
      <c r="B85" s="3">
        <f t="shared" si="44"/>
        <v>67.300081253051758</v>
      </c>
      <c r="D85" s="4">
        <f>1629135334.66929-1629135334.60144</f>
        <v>6.7850112915039063E-2</v>
      </c>
      <c r="E85" s="3">
        <f t="shared" si="45"/>
        <v>67.850112915039063</v>
      </c>
      <c r="G85" s="4">
        <f>1629135334.66874-1629135334.60144</f>
        <v>6.7300081253051758E-2</v>
      </c>
      <c r="H85" s="3">
        <f t="shared" si="46"/>
        <v>67.300081253051758</v>
      </c>
      <c r="J85" s="4">
        <f>1629135334.66874-1629135334.60144</f>
        <v>6.7300081253051758E-2</v>
      </c>
      <c r="K85" s="3">
        <f t="shared" si="47"/>
        <v>67.300081253051758</v>
      </c>
      <c r="M85" s="4">
        <f>1629135334.66884-1629135334.60144</f>
        <v>6.7399978637695313E-2</v>
      </c>
      <c r="N85" s="3">
        <f t="shared" si="48"/>
        <v>67.399978637695313</v>
      </c>
      <c r="S85" s="4">
        <f>1629135181.21183-1629135181.14242</f>
        <v>6.9409847259521484E-2</v>
      </c>
      <c r="T85" s="3">
        <f t="shared" si="49"/>
        <v>69.409847259521484</v>
      </c>
      <c r="V85" s="4">
        <f>1629135181.21111-1629135181.14242</f>
        <v>6.8690061569213867E-2</v>
      </c>
      <c r="W85" s="3">
        <f t="shared" si="50"/>
        <v>68.690061569213867</v>
      </c>
      <c r="Y85" s="4">
        <f>1629135181.21176-1629135181.14242</f>
        <v>6.9339990615844727E-2</v>
      </c>
      <c r="Z85" s="3">
        <f t="shared" si="51"/>
        <v>69.339990615844727</v>
      </c>
      <c r="AB85" s="4">
        <f>1629135181.21116-1629135181.14242</f>
        <v>6.8739891052246094E-2</v>
      </c>
      <c r="AC85" s="3">
        <f t="shared" si="52"/>
        <v>68.739891052246094</v>
      </c>
      <c r="AE85" s="4">
        <f>1629135181.21129-1629135181.14242</f>
        <v>6.8869829177856445E-2</v>
      </c>
      <c r="AF85" s="3">
        <f t="shared" si="53"/>
        <v>68.869829177856445</v>
      </c>
    </row>
    <row r="86" spans="1:32" x14ac:dyDescent="0.3">
      <c r="A86" s="4">
        <f>1629135335.74087-1629135335.67394</f>
        <v>6.6930055618286133E-2</v>
      </c>
      <c r="B86" s="3">
        <f t="shared" si="44"/>
        <v>66.930055618286133</v>
      </c>
      <c r="D86" s="4">
        <f>1629135335.74137-1629135335.67394</f>
        <v>6.7430019378662109E-2</v>
      </c>
      <c r="E86" s="3">
        <f t="shared" si="45"/>
        <v>67.430019378662109</v>
      </c>
      <c r="G86" s="4">
        <f>1629135335.74076-1629135335.67394</f>
        <v>6.6820144653320313E-2</v>
      </c>
      <c r="H86" s="3">
        <f t="shared" si="46"/>
        <v>66.820144653320313</v>
      </c>
      <c r="J86" s="4">
        <f>1629135335.74076-1629135335.67394</f>
        <v>6.6820144653320313E-2</v>
      </c>
      <c r="K86" s="3">
        <f t="shared" si="47"/>
        <v>66.820144653320313</v>
      </c>
      <c r="M86" s="4">
        <f>1629135335.74076-1629135335.67394</f>
        <v>6.6820144653320313E-2</v>
      </c>
      <c r="N86" s="3">
        <f t="shared" si="48"/>
        <v>66.820144653320313</v>
      </c>
      <c r="S86" s="4">
        <f>1629135182.2844-1629135182.21446</f>
        <v>6.9940090179443359E-2</v>
      </c>
      <c r="T86" s="3">
        <f t="shared" si="49"/>
        <v>69.940090179443359</v>
      </c>
      <c r="V86" s="4">
        <f>1629135182.28316-1629135182.21446</f>
        <v>6.8700075149536133E-2</v>
      </c>
      <c r="W86" s="3">
        <f t="shared" si="50"/>
        <v>68.700075149536133</v>
      </c>
      <c r="Y86" s="4">
        <f>1629135182.28379-1629135182.21446</f>
        <v>6.9330215454101563E-2</v>
      </c>
      <c r="Z86" s="3">
        <f t="shared" si="51"/>
        <v>69.330215454101563</v>
      </c>
      <c r="AB86" s="4">
        <f>1629135182.28322-1629135182.21446</f>
        <v>6.8760156631469727E-2</v>
      </c>
      <c r="AC86" s="3">
        <f t="shared" si="52"/>
        <v>68.760156631469727</v>
      </c>
      <c r="AE86" s="4">
        <f>1629135182.28331-1629135182.21446</f>
        <v>6.8850040435791016E-2</v>
      </c>
      <c r="AF86" s="3">
        <f t="shared" si="53"/>
        <v>68.850040435791016</v>
      </c>
    </row>
    <row r="87" spans="1:32" x14ac:dyDescent="0.3">
      <c r="A87" s="4">
        <f>1629135336.81294-1629135336.74598</f>
        <v>6.6959857940673828E-2</v>
      </c>
      <c r="B87" s="3">
        <f t="shared" si="44"/>
        <v>66.959857940673828</v>
      </c>
      <c r="D87" s="4">
        <f>1629135336.8136-1629135336.74598</f>
        <v>6.7620038986206055E-2</v>
      </c>
      <c r="E87" s="3">
        <f t="shared" si="45"/>
        <v>67.620038986206055</v>
      </c>
      <c r="G87" s="4">
        <f>1629135336.81294-1629135336.74598</f>
        <v>6.6959857940673828E-2</v>
      </c>
      <c r="H87" s="3">
        <f t="shared" si="46"/>
        <v>66.959857940673828</v>
      </c>
      <c r="J87" s="4">
        <f>1629135336.81294-1629135336.74598</f>
        <v>6.6959857940673828E-2</v>
      </c>
      <c r="K87" s="3">
        <f t="shared" si="47"/>
        <v>66.959857940673828</v>
      </c>
      <c r="M87" s="4">
        <f>1629135336.81305-1629135336.74598</f>
        <v>6.707000732421875E-2</v>
      </c>
      <c r="N87" s="3">
        <f t="shared" si="48"/>
        <v>67.07000732421875</v>
      </c>
      <c r="S87" s="4">
        <f>1629135183.35522-1629135183.28589</f>
        <v>6.9329977035522461E-2</v>
      </c>
      <c r="T87" s="3">
        <f t="shared" si="49"/>
        <v>69.329977035522461</v>
      </c>
      <c r="V87" s="4">
        <f>1629135183.35515-1629135183.28589</f>
        <v>6.9259881973266602E-2</v>
      </c>
      <c r="W87" s="3">
        <f t="shared" si="50"/>
        <v>69.259881973266602</v>
      </c>
      <c r="Y87" s="4">
        <f>1629135183.35572-1629135183.28589</f>
        <v>6.9829940795898438E-2</v>
      </c>
      <c r="Z87" s="3">
        <f t="shared" si="51"/>
        <v>69.829940795898438</v>
      </c>
      <c r="AB87" s="4">
        <f>1629135183.3552-1629135183.28589</f>
        <v>6.930994987487793E-2</v>
      </c>
      <c r="AC87" s="3">
        <f t="shared" si="52"/>
        <v>69.30994987487793</v>
      </c>
      <c r="AE87" s="4">
        <f>1629135183.35578-1629135183.28589</f>
        <v>6.988978385925293E-2</v>
      </c>
      <c r="AF87" s="3">
        <f t="shared" si="53"/>
        <v>69.88978385925293</v>
      </c>
    </row>
    <row r="88" spans="1:32" x14ac:dyDescent="0.3">
      <c r="A88" s="4">
        <f>1629135337.88475-1629135337.81804</f>
        <v>6.6709995269775391E-2</v>
      </c>
      <c r="B88" s="3">
        <f t="shared" si="44"/>
        <v>66.709995269775391</v>
      </c>
      <c r="D88" s="4">
        <f>1629135337.88529-1629135337.81804</f>
        <v>6.725001335144043E-2</v>
      </c>
      <c r="E88" s="3">
        <f t="shared" si="45"/>
        <v>67.25001335144043</v>
      </c>
      <c r="G88" s="4">
        <f>1629135337.88486-1629135337.81804</f>
        <v>6.6820144653320313E-2</v>
      </c>
      <c r="H88" s="3">
        <f t="shared" si="46"/>
        <v>66.820144653320313</v>
      </c>
      <c r="J88" s="4">
        <f>1629135337.88475-1629135337.81804</f>
        <v>6.6709995269775391E-2</v>
      </c>
      <c r="K88" s="3">
        <f t="shared" si="47"/>
        <v>66.709995269775391</v>
      </c>
      <c r="M88" s="4">
        <f>1629135337.88475-1629135337.81804</f>
        <v>6.6709995269775391E-2</v>
      </c>
      <c r="N88" s="3">
        <f t="shared" si="48"/>
        <v>66.709995269775391</v>
      </c>
      <c r="S88" s="4">
        <f>1629135184.42724-1629135184.35837</f>
        <v>6.8869829177856445E-2</v>
      </c>
      <c r="T88" s="3">
        <f t="shared" si="49"/>
        <v>68.869829177856445</v>
      </c>
      <c r="V88" s="4">
        <f>1629135184.42716-1629135184.35837</f>
        <v>6.8789958953857422E-2</v>
      </c>
      <c r="W88" s="3">
        <f t="shared" si="50"/>
        <v>68.789958953857422</v>
      </c>
      <c r="Y88" s="4">
        <f>1629135184.42788-1629135184.35837</f>
        <v>6.9509983062744141E-2</v>
      </c>
      <c r="Z88" s="3">
        <f t="shared" si="51"/>
        <v>69.509983062744141</v>
      </c>
      <c r="AB88" s="4">
        <f>1629135184.42721-1629135184.35837</f>
        <v>6.884002685546875E-2</v>
      </c>
      <c r="AC88" s="3">
        <f t="shared" si="52"/>
        <v>68.84002685546875</v>
      </c>
      <c r="AE88" s="4">
        <f>1629135184.4278-1629135184.35837</f>
        <v>6.9429874420166016E-2</v>
      </c>
      <c r="AF88" s="3">
        <f t="shared" si="53"/>
        <v>69.429874420166016</v>
      </c>
    </row>
    <row r="89" spans="1:32" x14ac:dyDescent="0.3">
      <c r="A89" s="4">
        <f>1629135338.96079-1629135338.88999</f>
        <v>7.0799827575683594E-2</v>
      </c>
      <c r="B89" s="3">
        <f t="shared" si="44"/>
        <v>70.799827575683594</v>
      </c>
      <c r="D89" s="4">
        <f>1629135338.96137-1629135338.88999</f>
        <v>7.1379899978637695E-2</v>
      </c>
      <c r="E89" s="3">
        <f t="shared" si="45"/>
        <v>71.379899978637695</v>
      </c>
      <c r="G89" s="4">
        <f>1629135338.96079-1629135338.88999</f>
        <v>7.0799827575683594E-2</v>
      </c>
      <c r="H89" s="3">
        <f t="shared" si="46"/>
        <v>70.799827575683594</v>
      </c>
      <c r="J89" s="4">
        <f>1629135338.96079-1629135338.88999</f>
        <v>7.0799827575683594E-2</v>
      </c>
      <c r="K89" s="3">
        <f t="shared" si="47"/>
        <v>70.799827575683594</v>
      </c>
      <c r="M89" s="4">
        <f>1629135338.96091-1629135338.88999</f>
        <v>7.0919990539550781E-2</v>
      </c>
      <c r="N89" s="3">
        <f t="shared" si="48"/>
        <v>70.919990539550781</v>
      </c>
      <c r="S89" s="4">
        <f>1629135185.49916-1629135185.43034</f>
        <v>6.8819999694824219E-2</v>
      </c>
      <c r="T89" s="3">
        <f t="shared" si="49"/>
        <v>68.819999694824219</v>
      </c>
      <c r="V89" s="4">
        <f>1629135185.49908-1629135185.43034</f>
        <v>6.8739891052246094E-2</v>
      </c>
      <c r="W89" s="3">
        <f t="shared" si="50"/>
        <v>68.739891052246094</v>
      </c>
      <c r="Y89" s="4">
        <f>1629135185.49965-1629135185.43034</f>
        <v>6.930994987487793E-2</v>
      </c>
      <c r="Z89" s="3">
        <f t="shared" si="51"/>
        <v>69.30994987487793</v>
      </c>
      <c r="AB89" s="4">
        <f>1629135185.49914-1629135185.43034</f>
        <v>6.8799972534179688E-2</v>
      </c>
      <c r="AC89" s="3">
        <f t="shared" si="52"/>
        <v>68.799972534179688</v>
      </c>
      <c r="AE89" s="4">
        <f>1629135185.49972-1629135185.43034</f>
        <v>6.9380044937133789E-2</v>
      </c>
      <c r="AF89" s="3">
        <f t="shared" si="53"/>
        <v>69.380044937133789</v>
      </c>
    </row>
    <row r="90" spans="1:32" x14ac:dyDescent="0.3">
      <c r="A90" s="4">
        <f>1629135340.02873-1629135339.9655</f>
        <v>6.3229799270629883E-2</v>
      </c>
      <c r="B90" s="3">
        <f t="shared" si="44"/>
        <v>63.229799270629883</v>
      </c>
      <c r="D90" s="4">
        <f>1629135340.03388-1629135339.9655</f>
        <v>6.8379878997802734E-2</v>
      </c>
      <c r="E90" s="3">
        <f t="shared" si="45"/>
        <v>68.379878997802734</v>
      </c>
      <c r="G90" s="4">
        <f>1629135340.02873-1629135339.9655</f>
        <v>6.3229799270629883E-2</v>
      </c>
      <c r="H90" s="3">
        <f t="shared" si="46"/>
        <v>63.229799270629883</v>
      </c>
      <c r="J90" s="4">
        <f>1629135340.02873-1629135339.9655</f>
        <v>6.3229799270629883E-2</v>
      </c>
      <c r="K90" s="3">
        <f t="shared" si="47"/>
        <v>63.229799270629883</v>
      </c>
      <c r="M90" s="4">
        <f>1629135340.02883-1629135339.9655</f>
        <v>6.3329935073852539E-2</v>
      </c>
      <c r="N90" s="3">
        <f t="shared" si="48"/>
        <v>63.329935073852539</v>
      </c>
      <c r="S90" s="4">
        <f>1629135186.5711-1629135186.50223</f>
        <v>6.8870067596435547E-2</v>
      </c>
      <c r="T90" s="3">
        <f t="shared" si="49"/>
        <v>68.870067596435547</v>
      </c>
      <c r="V90" s="4">
        <f>1629135186.57116-1629135186.50223</f>
        <v>6.8930149078369141E-2</v>
      </c>
      <c r="W90" s="3">
        <f t="shared" si="50"/>
        <v>68.930149078369141</v>
      </c>
      <c r="Y90" s="4">
        <f>1629135186.57353-1629135186.50223</f>
        <v>7.1300029754638672E-2</v>
      </c>
      <c r="Z90" s="3">
        <f t="shared" si="51"/>
        <v>71.300029754638672</v>
      </c>
      <c r="AB90" s="4">
        <f>1629135186.57108-1629135186.50223</f>
        <v>6.8850040435791016E-2</v>
      </c>
      <c r="AC90" s="3">
        <f t="shared" si="52"/>
        <v>68.850040435791016</v>
      </c>
      <c r="AE90" s="4">
        <f>1629135186.57323-1629135186.50223</f>
        <v>7.1000099182128906E-2</v>
      </c>
      <c r="AF90" s="3">
        <f t="shared" si="53"/>
        <v>71.000099182128906</v>
      </c>
    </row>
    <row r="91" spans="1:32" x14ac:dyDescent="0.3">
      <c r="B91" s="2">
        <f>AVERAGE(B81:B90)</f>
        <v>67.033982276916504</v>
      </c>
      <c r="E91" s="2">
        <f>AVERAGE(E81:E90)</f>
        <v>68.066000938415527</v>
      </c>
      <c r="H91" s="2">
        <f>AVERAGE(H81:H90)</f>
        <v>67.041993141174316</v>
      </c>
      <c r="K91" s="2">
        <f>AVERAGE(K81:K90)</f>
        <v>67.155981063842773</v>
      </c>
      <c r="N91" s="2">
        <f>AVERAGE(N81:N90)</f>
        <v>67.06702709197998</v>
      </c>
      <c r="T91" s="2">
        <f>AVERAGE(T81:T90)</f>
        <v>69.636988639831543</v>
      </c>
      <c r="W91" s="2">
        <f>AVERAGE(W81:W90)</f>
        <v>69.13001537322998</v>
      </c>
      <c r="Z91" s="2">
        <f>AVERAGE(Z81:Z90)</f>
        <v>69.948005676269531</v>
      </c>
      <c r="AC91" s="2">
        <f>AVERAGE(AC81:AC90)</f>
        <v>69.162988662719727</v>
      </c>
      <c r="AF91" s="2">
        <f>AVERAGE(AF81:AF90)</f>
        <v>69.645977020263672</v>
      </c>
    </row>
    <row r="93" spans="1:32" x14ac:dyDescent="0.3">
      <c r="A93" s="6" t="s">
        <v>52</v>
      </c>
      <c r="B93" s="6"/>
      <c r="D93" s="6" t="s">
        <v>53</v>
      </c>
      <c r="E93" s="6"/>
      <c r="G93" s="6" t="s">
        <v>54</v>
      </c>
      <c r="H93" s="6"/>
      <c r="J93" s="6" t="s">
        <v>55</v>
      </c>
      <c r="K93" s="6"/>
      <c r="M93" s="6" t="s">
        <v>56</v>
      </c>
      <c r="N93" s="6"/>
      <c r="S93" s="6" t="s">
        <v>52</v>
      </c>
      <c r="T93" s="6"/>
      <c r="V93" s="6" t="s">
        <v>53</v>
      </c>
      <c r="W93" s="6"/>
      <c r="Y93" s="6" t="s">
        <v>54</v>
      </c>
      <c r="Z93" s="6"/>
      <c r="AB93" s="6" t="s">
        <v>55</v>
      </c>
      <c r="AC93" s="6"/>
      <c r="AE93" s="6" t="s">
        <v>56</v>
      </c>
      <c r="AF93" s="6"/>
    </row>
    <row r="94" spans="1:32" ht="45" customHeight="1" x14ac:dyDescent="0.3">
      <c r="A94" s="8" t="s">
        <v>62</v>
      </c>
      <c r="B94" s="8"/>
      <c r="D94" s="8" t="s">
        <v>62</v>
      </c>
      <c r="E94" s="8"/>
      <c r="G94" s="8" t="s">
        <v>62</v>
      </c>
      <c r="H94" s="8"/>
      <c r="J94" s="8" t="s">
        <v>62</v>
      </c>
      <c r="K94" s="8"/>
      <c r="M94" s="8" t="s">
        <v>62</v>
      </c>
      <c r="N94" s="8"/>
      <c r="S94" s="8" t="s">
        <v>63</v>
      </c>
      <c r="T94" s="8"/>
      <c r="V94" s="8" t="s">
        <v>63</v>
      </c>
      <c r="W94" s="8"/>
      <c r="Y94" s="8" t="s">
        <v>63</v>
      </c>
      <c r="Z94" s="8"/>
      <c r="AB94" s="8" t="s">
        <v>63</v>
      </c>
      <c r="AC94" s="8"/>
      <c r="AE94" s="8" t="s">
        <v>63</v>
      </c>
      <c r="AF94" s="8"/>
    </row>
    <row r="95" spans="1:32" x14ac:dyDescent="0.3">
      <c r="A95" s="1" t="s">
        <v>1</v>
      </c>
      <c r="B95" s="1" t="s">
        <v>0</v>
      </c>
      <c r="D95" s="1" t="s">
        <v>1</v>
      </c>
      <c r="E95" s="1" t="s">
        <v>0</v>
      </c>
      <c r="G95" s="1" t="s">
        <v>1</v>
      </c>
      <c r="H95" s="1" t="s">
        <v>0</v>
      </c>
      <c r="J95" s="1" t="s">
        <v>1</v>
      </c>
      <c r="K95" s="1" t="s">
        <v>0</v>
      </c>
      <c r="M95" s="1" t="s">
        <v>1</v>
      </c>
      <c r="N95" s="1" t="s">
        <v>0</v>
      </c>
      <c r="S95" s="1" t="s">
        <v>1</v>
      </c>
      <c r="T95" s="1" t="s">
        <v>0</v>
      </c>
      <c r="V95" s="1" t="s">
        <v>1</v>
      </c>
      <c r="W95" s="1" t="s">
        <v>0</v>
      </c>
      <c r="Y95" s="1" t="s">
        <v>1</v>
      </c>
      <c r="Z95" s="1" t="s">
        <v>0</v>
      </c>
      <c r="AB95" s="1" t="s">
        <v>1</v>
      </c>
      <c r="AC95" s="1" t="s">
        <v>0</v>
      </c>
      <c r="AE95" s="1" t="s">
        <v>1</v>
      </c>
      <c r="AF95" s="1" t="s">
        <v>0</v>
      </c>
    </row>
    <row r="96" spans="1:32" x14ac:dyDescent="0.3">
      <c r="A96" s="4">
        <f>1629135330.37897-1629135330.31371</f>
        <v>6.5259933471679688E-2</v>
      </c>
      <c r="B96" s="3">
        <f>A96*1000</f>
        <v>65.259933471679688</v>
      </c>
      <c r="D96" s="4">
        <f>1629135330.37897-1629135330.31371</f>
        <v>6.5259933471679688E-2</v>
      </c>
      <c r="E96" s="3">
        <f>D96*1000</f>
        <v>65.259933471679688</v>
      </c>
      <c r="G96" s="4">
        <f>1629135330.37904-1629135330.31371</f>
        <v>6.5330028533935547E-2</v>
      </c>
      <c r="H96" s="3">
        <f>G96*1000</f>
        <v>65.330028533935547</v>
      </c>
      <c r="J96" s="4">
        <f>1629135330.37936-1629135330.31371</f>
        <v>6.5649986267089844E-2</v>
      </c>
      <c r="K96" s="3">
        <f>J96*1000</f>
        <v>65.649986267089844</v>
      </c>
      <c r="M96" s="4">
        <f>1629135330.37974-1629135330.31371</f>
        <v>6.6030025482177734E-2</v>
      </c>
      <c r="N96" s="3">
        <f>M96*1000</f>
        <v>66.030025482177734</v>
      </c>
      <c r="S96" s="4">
        <f>1629135176.92763-1629135176.85131</f>
        <v>7.631993293762207E-2</v>
      </c>
      <c r="T96" s="3">
        <f>S96*1000</f>
        <v>76.31993293762207</v>
      </c>
      <c r="V96" s="4">
        <f>1629135176.92809-1629135176.85131</f>
        <v>7.6780080795288086E-2</v>
      </c>
      <c r="W96" s="3">
        <f>V96*1000</f>
        <v>76.780080795288086</v>
      </c>
      <c r="Y96" s="4">
        <f>1629135176.92723-1629135176.85131</f>
        <v>7.5919866561889648E-2</v>
      </c>
      <c r="Z96" s="3">
        <f>Y96*1000</f>
        <v>75.919866561889648</v>
      </c>
      <c r="AB96" s="4">
        <f>1629135176.92728-1629135176.85131</f>
        <v>7.5969934463500977E-2</v>
      </c>
      <c r="AC96" s="3">
        <f>AB96*1000</f>
        <v>75.969934463500977</v>
      </c>
      <c r="AE96" s="4">
        <f>1629135176.92722-1629135176.85131</f>
        <v>7.5910091400146484E-2</v>
      </c>
      <c r="AF96" s="3">
        <f>AE96*1000</f>
        <v>75.910091400146484</v>
      </c>
    </row>
    <row r="97" spans="1:32" x14ac:dyDescent="0.3">
      <c r="A97" s="4">
        <f>1629135331.45093-1629135331.3861</f>
        <v>6.483006477355957E-2</v>
      </c>
      <c r="B97" s="3">
        <f t="shared" ref="B97:B105" si="54">A97*1000</f>
        <v>64.83006477355957</v>
      </c>
      <c r="D97" s="4">
        <f>1629135331.45085-1629135331.3861</f>
        <v>6.4749956130981445E-2</v>
      </c>
      <c r="E97" s="3">
        <f t="shared" ref="E97:E105" si="55">D97*1000</f>
        <v>64.749956130981445</v>
      </c>
      <c r="G97" s="4">
        <f>1629135331.45085-1629135331.3861</f>
        <v>6.4749956130981445E-2</v>
      </c>
      <c r="H97" s="3">
        <f t="shared" ref="H97:H105" si="56">G97*1000</f>
        <v>64.749956130981445</v>
      </c>
      <c r="J97" s="4">
        <f>1629135331.45144-1629135331.3861</f>
        <v>6.5340042114257813E-2</v>
      </c>
      <c r="K97" s="3">
        <f t="shared" ref="K97:K105" si="57">J97*1000</f>
        <v>65.340042114257813</v>
      </c>
      <c r="M97" s="4">
        <f>1629135331.45137-1629135331.3861</f>
        <v>6.5269947052001953E-2</v>
      </c>
      <c r="N97" s="3">
        <f t="shared" ref="N97:N105" si="58">M97*1000</f>
        <v>65.269947052001953</v>
      </c>
      <c r="S97" s="4">
        <f>1629135178.00042-1629135177.92672</f>
        <v>7.3700189590454102E-2</v>
      </c>
      <c r="T97" s="3">
        <f t="shared" ref="T97:T105" si="59">S97*1000</f>
        <v>73.700189590454102</v>
      </c>
      <c r="V97" s="4">
        <f>1629135177.99887-1629135177.92672</f>
        <v>7.2149991989135742E-2</v>
      </c>
      <c r="W97" s="3">
        <f t="shared" ref="W97:W105" si="60">V97*1000</f>
        <v>72.149991989135742</v>
      </c>
      <c r="Y97" s="4">
        <f>1629135177.99904-1629135177.92672</f>
        <v>7.2319984436035156E-2</v>
      </c>
      <c r="Z97" s="3">
        <f t="shared" ref="Z97:Z105" si="61">Y97*1000</f>
        <v>72.319984436035156</v>
      </c>
      <c r="AB97" s="4">
        <f>1629135177.99892-1629135177.92672</f>
        <v>7.220005989074707E-2</v>
      </c>
      <c r="AC97" s="3">
        <f t="shared" ref="AC97:AC105" si="62">AB97*1000</f>
        <v>72.20005989074707</v>
      </c>
      <c r="AE97" s="4">
        <f>1629135177.99959-1629135177.92672</f>
        <v>7.2870016098022461E-2</v>
      </c>
      <c r="AF97" s="3">
        <f t="shared" ref="AF97:AF105" si="63">AE97*1000</f>
        <v>72.870016098022461</v>
      </c>
    </row>
    <row r="98" spans="1:32" x14ac:dyDescent="0.3">
      <c r="A98" s="4">
        <f>1629135332.52288-1629135332.45751</f>
        <v>6.5370082855224609E-2</v>
      </c>
      <c r="B98" s="3">
        <f t="shared" si="54"/>
        <v>65.370082855224609</v>
      </c>
      <c r="D98" s="4">
        <f>1629135332.5228-1629135332.45751</f>
        <v>6.5289974212646484E-2</v>
      </c>
      <c r="E98" s="3">
        <f t="shared" si="55"/>
        <v>65.289974212646484</v>
      </c>
      <c r="G98" s="4">
        <f>1629135332.5228-1629135332.45751</f>
        <v>6.5289974212646484E-2</v>
      </c>
      <c r="H98" s="3">
        <f t="shared" si="56"/>
        <v>65.289974212646484</v>
      </c>
      <c r="J98" s="4">
        <f>1629135332.52328-1629135332.45751</f>
        <v>6.576991081237793E-2</v>
      </c>
      <c r="K98" s="3">
        <f t="shared" si="57"/>
        <v>65.76991081237793</v>
      </c>
      <c r="M98" s="4">
        <f>1629135332.52334-1629135332.45751</f>
        <v>6.5829992294311523E-2</v>
      </c>
      <c r="N98" s="3">
        <f t="shared" si="58"/>
        <v>65.829992294311523</v>
      </c>
      <c r="S98" s="4">
        <f>1629135179.07168-1629135178.99826</f>
        <v>7.3420047760009766E-2</v>
      </c>
      <c r="T98" s="3">
        <f t="shared" si="59"/>
        <v>73.420047760009766</v>
      </c>
      <c r="V98" s="4">
        <f>1629135179.07091-1629135178.99826</f>
        <v>7.2649955749511719E-2</v>
      </c>
      <c r="W98" s="3">
        <f t="shared" si="60"/>
        <v>72.649955749511719</v>
      </c>
      <c r="Y98" s="4">
        <f>1629135179.07104-1629135178.99826</f>
        <v>7.277989387512207E-2</v>
      </c>
      <c r="Z98" s="3">
        <f t="shared" si="61"/>
        <v>72.77989387512207</v>
      </c>
      <c r="AB98" s="4">
        <f>1629135179.07097-1629135178.99826</f>
        <v>7.2710037231445313E-2</v>
      </c>
      <c r="AC98" s="3">
        <f t="shared" si="62"/>
        <v>72.710037231445313</v>
      </c>
      <c r="AE98" s="4">
        <f>1629135179.07236-1629135178.99826</f>
        <v>7.4100017547607422E-2</v>
      </c>
      <c r="AF98" s="3">
        <f t="shared" si="63"/>
        <v>74.100017547607422</v>
      </c>
    </row>
    <row r="99" spans="1:32" x14ac:dyDescent="0.3">
      <c r="A99" s="4">
        <f>1629135333.59475-1629135333.5298</f>
        <v>6.4949989318847656E-2</v>
      </c>
      <c r="B99" s="3">
        <f t="shared" si="54"/>
        <v>64.949989318847656</v>
      </c>
      <c r="D99" s="4">
        <f>1629135333.59486-1629135333.5298</f>
        <v>6.5060138702392578E-2</v>
      </c>
      <c r="E99" s="3">
        <f t="shared" si="55"/>
        <v>65.060138702392578</v>
      </c>
      <c r="G99" s="4">
        <f>1629135333.59475-1629135333.5298</f>
        <v>6.4949989318847656E-2</v>
      </c>
      <c r="H99" s="3">
        <f t="shared" si="56"/>
        <v>64.949989318847656</v>
      </c>
      <c r="J99" s="4">
        <f>1629135333.59475-1629135333.5298</f>
        <v>6.4949989318847656E-2</v>
      </c>
      <c r="K99" s="3">
        <f t="shared" si="57"/>
        <v>64.949989318847656</v>
      </c>
      <c r="M99" s="4">
        <f>1629135333.59528-1629135333.5298</f>
        <v>6.547999382019043E-2</v>
      </c>
      <c r="N99" s="3">
        <f t="shared" si="58"/>
        <v>65.47999382019043</v>
      </c>
      <c r="S99" s="4">
        <f>1629135180.14361-1629135180.07056</f>
        <v>7.3050022125244141E-2</v>
      </c>
      <c r="T99" s="3">
        <f t="shared" si="59"/>
        <v>73.050022125244141</v>
      </c>
      <c r="V99" s="4">
        <f>1629135180.14302-1629135180.07056</f>
        <v>7.2459936141967773E-2</v>
      </c>
      <c r="W99" s="3">
        <f t="shared" si="60"/>
        <v>72.459936141967773</v>
      </c>
      <c r="Y99" s="4">
        <f>1629135180.14313-1629135180.07056</f>
        <v>7.2570085525512695E-2</v>
      </c>
      <c r="Z99" s="3">
        <f t="shared" si="61"/>
        <v>72.570085525512695</v>
      </c>
      <c r="AB99" s="4">
        <f>1629135180.14304-1629135180.07056</f>
        <v>7.2479963302612305E-2</v>
      </c>
      <c r="AC99" s="3">
        <f t="shared" si="62"/>
        <v>72.479963302612305</v>
      </c>
      <c r="AE99" s="4">
        <f>1629135180.1437-1629135180.07056</f>
        <v>7.313990592956543E-2</v>
      </c>
      <c r="AF99" s="3">
        <f t="shared" si="63"/>
        <v>73.13990592956543</v>
      </c>
    </row>
    <row r="100" spans="1:32" x14ac:dyDescent="0.3">
      <c r="A100" s="4">
        <f>1629135334.66685-1629135334.60144</f>
        <v>6.5410137176513672E-2</v>
      </c>
      <c r="B100" s="3">
        <f t="shared" si="54"/>
        <v>65.410137176513672</v>
      </c>
      <c r="D100" s="4">
        <f>1629135334.66674-1629135334.60144</f>
        <v>6.529998779296875E-2</v>
      </c>
      <c r="E100" s="3">
        <f t="shared" si="55"/>
        <v>65.29998779296875</v>
      </c>
      <c r="G100" s="4">
        <f>1629135334.66674-1629135334.60144</f>
        <v>6.529998779296875E-2</v>
      </c>
      <c r="H100" s="3">
        <f t="shared" si="56"/>
        <v>65.29998779296875</v>
      </c>
      <c r="J100" s="4">
        <f>1629135334.66675-1629135334.60144</f>
        <v>6.5310001373291016E-2</v>
      </c>
      <c r="K100" s="3">
        <f t="shared" si="57"/>
        <v>65.310001373291016</v>
      </c>
      <c r="M100" s="4">
        <f>1629135334.6673-1629135334.60144</f>
        <v>6.586003303527832E-2</v>
      </c>
      <c r="N100" s="3">
        <f t="shared" si="58"/>
        <v>65.86003303527832</v>
      </c>
      <c r="S100" s="4">
        <f>1629135181.21482-1629135181.14242</f>
        <v>7.239985466003418E-2</v>
      </c>
      <c r="T100" s="3">
        <f t="shared" si="59"/>
        <v>72.39985466003418</v>
      </c>
      <c r="V100" s="4">
        <f>1629135181.21546-1629135181.14242</f>
        <v>7.3040008544921875E-2</v>
      </c>
      <c r="W100" s="3">
        <f t="shared" si="60"/>
        <v>73.040008544921875</v>
      </c>
      <c r="Y100" s="4">
        <f>1629135181.21498-1629135181.14242</f>
        <v>7.2559833526611328E-2</v>
      </c>
      <c r="Z100" s="3">
        <f t="shared" si="61"/>
        <v>72.559833526611328</v>
      </c>
      <c r="AB100" s="4">
        <f>1629135181.21621-1629135181.14242</f>
        <v>7.3789834976196289E-2</v>
      </c>
      <c r="AC100" s="3">
        <f t="shared" si="62"/>
        <v>73.789834976196289</v>
      </c>
      <c r="AE100" s="4">
        <f>1629135181.21553-1629135181.14242</f>
        <v>7.3109865188598633E-2</v>
      </c>
      <c r="AF100" s="3">
        <f t="shared" si="63"/>
        <v>73.109865188598633</v>
      </c>
    </row>
    <row r="101" spans="1:32" x14ac:dyDescent="0.3">
      <c r="A101" s="4">
        <f>1629135335.73871-1629135335.67394</f>
        <v>6.4769983291625977E-2</v>
      </c>
      <c r="B101" s="3">
        <f t="shared" si="54"/>
        <v>64.769983291625977</v>
      </c>
      <c r="D101" s="4">
        <f>1629135335.73883-1629135335.67394</f>
        <v>6.4890146255493164E-2</v>
      </c>
      <c r="E101" s="3">
        <f t="shared" si="55"/>
        <v>64.890146255493164</v>
      </c>
      <c r="G101" s="4">
        <f>1629135335.73871-1629135335.67394</f>
        <v>6.4769983291625977E-2</v>
      </c>
      <c r="H101" s="3">
        <f t="shared" si="56"/>
        <v>64.769983291625977</v>
      </c>
      <c r="J101" s="4">
        <f>1629135335.73872-1629135335.67394</f>
        <v>6.4779996871948242E-2</v>
      </c>
      <c r="K101" s="3">
        <f t="shared" si="57"/>
        <v>64.779996871948242</v>
      </c>
      <c r="M101" s="4">
        <f>1629135335.73956-1629135335.67394</f>
        <v>6.5619945526123047E-2</v>
      </c>
      <c r="N101" s="3">
        <f t="shared" si="58"/>
        <v>65.619945526123047</v>
      </c>
      <c r="S101" s="4">
        <f>1629135182.28678-1629135182.21446</f>
        <v>7.2320222854614258E-2</v>
      </c>
      <c r="T101" s="3">
        <f t="shared" si="59"/>
        <v>72.320222854614258</v>
      </c>
      <c r="V101" s="4">
        <f>1629135182.28736-1629135182.21446</f>
        <v>7.2900056838989258E-2</v>
      </c>
      <c r="W101" s="3">
        <f t="shared" si="60"/>
        <v>72.900056838989258</v>
      </c>
      <c r="Y101" s="4">
        <f>1629135182.28727-1629135182.21446</f>
        <v>7.2810173034667969E-2</v>
      </c>
      <c r="Z101" s="3">
        <f t="shared" si="61"/>
        <v>72.810173034667969</v>
      </c>
      <c r="AB101" s="4">
        <f>1629135182.28762-1629135182.21446</f>
        <v>7.3160171508789063E-2</v>
      </c>
      <c r="AC101" s="3">
        <f t="shared" si="62"/>
        <v>73.160171508789063</v>
      </c>
      <c r="AE101" s="4">
        <f>1629135182.28809-1629135182.21446</f>
        <v>7.3630094528198242E-2</v>
      </c>
      <c r="AF101" s="3">
        <f t="shared" si="63"/>
        <v>73.630094528198242</v>
      </c>
    </row>
    <row r="102" spans="1:32" x14ac:dyDescent="0.3">
      <c r="A102" s="4">
        <f>1629135336.8109-1629135336.74598</f>
        <v>6.4919948577880859E-2</v>
      </c>
      <c r="B102" s="3">
        <f t="shared" si="54"/>
        <v>64.919948577880859</v>
      </c>
      <c r="D102" s="4">
        <f>1629135336.81079-1629135336.74598</f>
        <v>6.4810037612915039E-2</v>
      </c>
      <c r="E102" s="3">
        <f t="shared" si="55"/>
        <v>64.810037612915039</v>
      </c>
      <c r="G102" s="4">
        <f>1629135336.81079-1629135336.74598</f>
        <v>6.4810037612915039E-2</v>
      </c>
      <c r="H102" s="3">
        <f t="shared" si="56"/>
        <v>64.810037612915039</v>
      </c>
      <c r="J102" s="4">
        <f>1629135336.81081-1629135336.74598</f>
        <v>6.483006477355957E-2</v>
      </c>
      <c r="K102" s="3">
        <f t="shared" si="57"/>
        <v>64.83006477355957</v>
      </c>
      <c r="M102" s="4">
        <f>1629135336.8116-1629135336.74598</f>
        <v>6.5619945526123047E-2</v>
      </c>
      <c r="N102" s="3">
        <f t="shared" si="58"/>
        <v>65.619945526123047</v>
      </c>
      <c r="S102" s="4">
        <f>1629135183.35884-1629135183.28589</f>
        <v>7.2949886322021484E-2</v>
      </c>
      <c r="T102" s="3">
        <f t="shared" si="59"/>
        <v>72.949886322021484</v>
      </c>
      <c r="V102" s="4">
        <f>1629135183.35946-1629135183.28589</f>
        <v>7.3570013046264648E-2</v>
      </c>
      <c r="W102" s="3">
        <f t="shared" si="60"/>
        <v>73.570013046264648</v>
      </c>
      <c r="Y102" s="4">
        <f>1629135183.35899-1629135183.28589</f>
        <v>7.3099851608276367E-2</v>
      </c>
      <c r="Z102" s="3">
        <f t="shared" si="61"/>
        <v>73.099851608276367</v>
      </c>
      <c r="AB102" s="4">
        <f>1629135183.35954-1629135183.28589</f>
        <v>7.3649883270263672E-2</v>
      </c>
      <c r="AC102" s="3">
        <f t="shared" si="62"/>
        <v>73.649883270263672</v>
      </c>
      <c r="AE102" s="4">
        <f>1629135183.35942-1629135183.28589</f>
        <v>7.3529958724975586E-2</v>
      </c>
      <c r="AF102" s="3">
        <f t="shared" si="63"/>
        <v>73.529958724975586</v>
      </c>
    </row>
    <row r="103" spans="1:32" x14ac:dyDescent="0.3">
      <c r="A103" s="4">
        <f>1629135337.88276-1629135337.81804</f>
        <v>6.472015380859375E-2</v>
      </c>
      <c r="B103" s="3">
        <f t="shared" si="54"/>
        <v>64.72015380859375</v>
      </c>
      <c r="D103" s="4">
        <f>1629135337.88265-1629135337.81804</f>
        <v>6.4610004425048828E-2</v>
      </c>
      <c r="E103" s="3">
        <f t="shared" si="55"/>
        <v>64.610004425048828</v>
      </c>
      <c r="G103" s="4">
        <f>1629135337.88265-1629135337.81804</f>
        <v>6.4610004425048828E-2</v>
      </c>
      <c r="H103" s="3">
        <f t="shared" si="56"/>
        <v>64.610004425048828</v>
      </c>
      <c r="J103" s="4">
        <f>1629135337.88267-1629135337.81804</f>
        <v>6.4630031585693359E-2</v>
      </c>
      <c r="K103" s="3">
        <f t="shared" si="57"/>
        <v>64.630031585693359</v>
      </c>
      <c r="M103" s="4">
        <f>1629135337.88342-1629135337.81804</f>
        <v>6.5380096435546875E-2</v>
      </c>
      <c r="N103" s="3">
        <f t="shared" si="58"/>
        <v>65.380096435546875</v>
      </c>
      <c r="S103" s="4">
        <f>1629135184.43085-1629135184.35837</f>
        <v>7.2479963302612305E-2</v>
      </c>
      <c r="T103" s="3">
        <f t="shared" si="59"/>
        <v>72.479963302612305</v>
      </c>
      <c r="V103" s="4">
        <f>1629135184.43149-1629135184.35837</f>
        <v>7.3119878768920898E-2</v>
      </c>
      <c r="W103" s="3">
        <f t="shared" si="60"/>
        <v>73.119878768920898</v>
      </c>
      <c r="Y103" s="4">
        <f>1629135184.43099-1629135184.35837</f>
        <v>7.2619915008544922E-2</v>
      </c>
      <c r="Z103" s="3">
        <f t="shared" si="61"/>
        <v>72.619915008544922</v>
      </c>
      <c r="AB103" s="4">
        <f>1629135184.43221-1629135184.35837</f>
        <v>7.3839902877807617E-2</v>
      </c>
      <c r="AC103" s="3">
        <f t="shared" si="62"/>
        <v>73.839902877807617</v>
      </c>
      <c r="AE103" s="4">
        <f>1629135184.43145-1629135184.35837</f>
        <v>7.3079824447631836E-2</v>
      </c>
      <c r="AF103" s="3">
        <f t="shared" si="63"/>
        <v>73.079824447631836</v>
      </c>
    </row>
    <row r="104" spans="1:32" x14ac:dyDescent="0.3">
      <c r="A104" s="4">
        <f>1629135338.95863-1629135338.88999</f>
        <v>6.8639993667602539E-2</v>
      </c>
      <c r="B104" s="3">
        <f t="shared" si="54"/>
        <v>68.639993667602539</v>
      </c>
      <c r="D104" s="4">
        <f>1629135338.95874-1629135338.88999</f>
        <v>6.8749904632568359E-2</v>
      </c>
      <c r="E104" s="3">
        <f t="shared" si="55"/>
        <v>68.749904632568359</v>
      </c>
      <c r="G104" s="4">
        <f>1629135338.95863-1629135338.88999</f>
        <v>6.8639993667602539E-2</v>
      </c>
      <c r="H104" s="3">
        <f t="shared" si="56"/>
        <v>68.639993667602539</v>
      </c>
      <c r="J104" s="4">
        <f>1629135338.95865-1629135338.88999</f>
        <v>6.866002082824707E-2</v>
      </c>
      <c r="K104" s="3">
        <f t="shared" si="57"/>
        <v>68.66002082824707</v>
      </c>
      <c r="M104" s="4">
        <f>1629135338.95941-1629135338.88999</f>
        <v>6.941986083984375E-2</v>
      </c>
      <c r="N104" s="3">
        <f t="shared" si="58"/>
        <v>69.41986083984375</v>
      </c>
      <c r="S104" s="4">
        <f>1629135185.50278-1629135185.43034</f>
        <v>7.2439908981323242E-2</v>
      </c>
      <c r="T104" s="3">
        <f t="shared" si="59"/>
        <v>72.439908981323242</v>
      </c>
      <c r="V104" s="4">
        <f>1629135185.50333-1629135185.43034</f>
        <v>7.2989940643310547E-2</v>
      </c>
      <c r="W104" s="3">
        <f t="shared" si="60"/>
        <v>72.989940643310547</v>
      </c>
      <c r="Y104" s="4">
        <f>1629135185.50291-1629135185.43034</f>
        <v>7.2569847106933594E-2</v>
      </c>
      <c r="Z104" s="3">
        <f t="shared" si="61"/>
        <v>72.569847106933594</v>
      </c>
      <c r="AB104" s="4">
        <f>1629135185.50339-1629135185.43034</f>
        <v>7.3050022125244141E-2</v>
      </c>
      <c r="AC104" s="3">
        <f t="shared" si="62"/>
        <v>73.050022125244141</v>
      </c>
      <c r="AE104" s="4">
        <f>1629135185.50404-1629135185.43034</f>
        <v>7.3699951171875E-2</v>
      </c>
      <c r="AF104" s="3">
        <f t="shared" si="63"/>
        <v>73.699951171875</v>
      </c>
    </row>
    <row r="105" spans="1:32" x14ac:dyDescent="0.3">
      <c r="A105" s="4">
        <f>1629135340.02666-1629135339.9655</f>
        <v>6.1159849166870117E-2</v>
      </c>
      <c r="B105" s="3">
        <f t="shared" si="54"/>
        <v>61.159849166870117</v>
      </c>
      <c r="D105" s="4">
        <f>1629135340.02655-1629135339.9655</f>
        <v>6.1049938201904297E-2</v>
      </c>
      <c r="E105" s="3">
        <f t="shared" si="55"/>
        <v>61.049938201904297</v>
      </c>
      <c r="G105" s="4">
        <f>1629135340.02655-1629135339.9655</f>
        <v>6.1049938201904297E-2</v>
      </c>
      <c r="H105" s="3">
        <f t="shared" si="56"/>
        <v>61.049938201904297</v>
      </c>
      <c r="J105" s="4">
        <f>1629135340.02658-1629135339.9655</f>
        <v>6.1079978942871094E-2</v>
      </c>
      <c r="K105" s="3">
        <f t="shared" si="57"/>
        <v>61.079978942871094</v>
      </c>
      <c r="M105" s="4">
        <f>1629135340.0309-1629135339.9655</f>
        <v>6.5399885177612305E-2</v>
      </c>
      <c r="N105" s="3">
        <f t="shared" si="58"/>
        <v>65.399885177612305</v>
      </c>
      <c r="S105" s="4">
        <f>1629135186.57468-1629135186.50223</f>
        <v>7.2450160980224609E-2</v>
      </c>
      <c r="T105" s="3">
        <f t="shared" si="59"/>
        <v>72.450160980224609</v>
      </c>
      <c r="V105" s="4">
        <f>1629135186.57965-1629135186.50223</f>
        <v>7.741999626159668E-2</v>
      </c>
      <c r="W105" s="3">
        <f t="shared" si="60"/>
        <v>77.41999626159668</v>
      </c>
      <c r="Y105" s="4">
        <f>1629135186.57491-1629135186.50223</f>
        <v>7.2679996490478516E-2</v>
      </c>
      <c r="Z105" s="3">
        <f t="shared" si="61"/>
        <v>72.679996490478516</v>
      </c>
      <c r="AB105" s="4">
        <f>1629135186.57589-1629135186.50223</f>
        <v>7.3660135269165039E-2</v>
      </c>
      <c r="AC105" s="3">
        <f t="shared" si="62"/>
        <v>73.660135269165039</v>
      </c>
      <c r="AE105" s="4">
        <f>1629135186.57953-1629135186.50223</f>
        <v>7.7300071716308594E-2</v>
      </c>
      <c r="AF105" s="3">
        <f t="shared" si="63"/>
        <v>77.300071716308594</v>
      </c>
    </row>
    <row r="106" spans="1:32" x14ac:dyDescent="0.3">
      <c r="B106" s="2">
        <f>AVERAGE(B96:B105)</f>
        <v>65.003013610839844</v>
      </c>
      <c r="E106" s="2">
        <f>AVERAGE(E96:E105)</f>
        <v>64.977002143859863</v>
      </c>
      <c r="H106" s="2">
        <f>AVERAGE(H96:H105)</f>
        <v>64.949989318847656</v>
      </c>
      <c r="K106" s="2">
        <f>AVERAGE(K96:K105)</f>
        <v>65.100002288818359</v>
      </c>
      <c r="N106" s="2">
        <f>AVERAGE(N96:N105)</f>
        <v>65.990972518920898</v>
      </c>
      <c r="T106" s="2">
        <f>AVERAGE(T96:T105)</f>
        <v>73.153018951416016</v>
      </c>
      <c r="W106" s="2">
        <f>AVERAGE(W96:W105)</f>
        <v>73.707985877990723</v>
      </c>
      <c r="Z106" s="2">
        <f>AVERAGE(Z96:Z105)</f>
        <v>72.992944717407227</v>
      </c>
      <c r="AC106" s="2">
        <f>AVERAGE(AC96:AC105)</f>
        <v>73.450994491577148</v>
      </c>
      <c r="AF106" s="2">
        <f>AVERAGE(AF96:AF105)</f>
        <v>74.036979675292969</v>
      </c>
    </row>
    <row r="108" spans="1:32" x14ac:dyDescent="0.3">
      <c r="A108" s="6" t="s">
        <v>47</v>
      </c>
      <c r="B108" s="6"/>
      <c r="D108" s="6" t="s">
        <v>48</v>
      </c>
      <c r="E108" s="6"/>
      <c r="G108" s="6" t="s">
        <v>49</v>
      </c>
      <c r="H108" s="6"/>
      <c r="J108" s="6" t="s">
        <v>50</v>
      </c>
      <c r="K108" s="6"/>
      <c r="M108" s="6" t="s">
        <v>51</v>
      </c>
      <c r="N108" s="6"/>
      <c r="S108" s="6" t="s">
        <v>47</v>
      </c>
      <c r="T108" s="6"/>
      <c r="V108" s="6" t="s">
        <v>48</v>
      </c>
      <c r="W108" s="6"/>
      <c r="Y108" s="6" t="s">
        <v>49</v>
      </c>
      <c r="Z108" s="6"/>
      <c r="AB108" s="6" t="s">
        <v>50</v>
      </c>
      <c r="AC108" s="6"/>
      <c r="AE108" s="6" t="s">
        <v>51</v>
      </c>
      <c r="AF108" s="6"/>
    </row>
    <row r="109" spans="1:32" ht="45" customHeight="1" x14ac:dyDescent="0.3">
      <c r="A109" s="8" t="s">
        <v>62</v>
      </c>
      <c r="B109" s="8"/>
      <c r="D109" s="8" t="s">
        <v>62</v>
      </c>
      <c r="E109" s="8"/>
      <c r="G109" s="8" t="s">
        <v>62</v>
      </c>
      <c r="H109" s="8"/>
      <c r="J109" s="8" t="s">
        <v>62</v>
      </c>
      <c r="K109" s="8"/>
      <c r="M109" s="8" t="s">
        <v>62</v>
      </c>
      <c r="N109" s="8"/>
      <c r="S109" s="8" t="s">
        <v>63</v>
      </c>
      <c r="T109" s="8"/>
      <c r="V109" s="8" t="s">
        <v>63</v>
      </c>
      <c r="W109" s="8"/>
      <c r="Y109" s="8" t="s">
        <v>63</v>
      </c>
      <c r="Z109" s="8"/>
      <c r="AB109" s="8" t="s">
        <v>63</v>
      </c>
      <c r="AC109" s="8"/>
      <c r="AE109" s="8" t="s">
        <v>63</v>
      </c>
      <c r="AF109" s="8"/>
    </row>
    <row r="110" spans="1:32" x14ac:dyDescent="0.3">
      <c r="A110" s="1" t="s">
        <v>1</v>
      </c>
      <c r="B110" s="1" t="s">
        <v>0</v>
      </c>
      <c r="D110" s="1" t="s">
        <v>1</v>
      </c>
      <c r="E110" s="1" t="s">
        <v>0</v>
      </c>
      <c r="G110" s="1" t="s">
        <v>1</v>
      </c>
      <c r="H110" s="1" t="s">
        <v>0</v>
      </c>
      <c r="J110" s="1" t="s">
        <v>1</v>
      </c>
      <c r="K110" s="1" t="s">
        <v>0</v>
      </c>
      <c r="M110" s="1" t="s">
        <v>1</v>
      </c>
      <c r="N110" s="1" t="s">
        <v>0</v>
      </c>
      <c r="S110" s="1" t="s">
        <v>1</v>
      </c>
      <c r="T110" s="1" t="s">
        <v>0</v>
      </c>
      <c r="V110" s="1" t="s">
        <v>1</v>
      </c>
      <c r="W110" s="1" t="s">
        <v>0</v>
      </c>
      <c r="Y110" s="1" t="s">
        <v>1</v>
      </c>
      <c r="Z110" s="1" t="s">
        <v>0</v>
      </c>
      <c r="AB110" s="1" t="s">
        <v>1</v>
      </c>
      <c r="AC110" s="1" t="s">
        <v>0</v>
      </c>
      <c r="AE110" s="1" t="s">
        <v>1</v>
      </c>
      <c r="AF110" s="1" t="s">
        <v>0</v>
      </c>
    </row>
    <row r="111" spans="1:32" x14ac:dyDescent="0.3">
      <c r="A111" s="4">
        <f>1629135330.38094-1629135330.31371</f>
        <v>6.7229986190795898E-2</v>
      </c>
      <c r="B111" s="3">
        <f>A111*1000</f>
        <v>67.229986190795898</v>
      </c>
      <c r="D111" s="4">
        <f>1629135330.38094-1629135330.31371</f>
        <v>6.7229986190795898E-2</v>
      </c>
      <c r="E111" s="3">
        <f>D111*1000</f>
        <v>67.229986190795898</v>
      </c>
      <c r="G111" s="4">
        <f>1629135330.38171-1629135330.31371</f>
        <v>6.8000078201293945E-2</v>
      </c>
      <c r="H111" s="3">
        <f>G111*1000</f>
        <v>68.000078201293945</v>
      </c>
      <c r="J111" s="4">
        <f>1629135330.38139-1629135330.31371</f>
        <v>6.7680120468139648E-2</v>
      </c>
      <c r="K111" s="3">
        <f>J111*1000</f>
        <v>67.680120468139648</v>
      </c>
      <c r="M111" s="4">
        <f>1629135330.381-1629135330.31371</f>
        <v>6.7290067672729492E-2</v>
      </c>
      <c r="N111" s="3">
        <f>M111*1000</f>
        <v>67.290067672729492</v>
      </c>
      <c r="S111" s="4">
        <f>1629135176.92421-1629135176.85131</f>
        <v>7.2900056838989258E-2</v>
      </c>
      <c r="T111" s="3">
        <f>S111*1000</f>
        <v>72.900056838989258</v>
      </c>
      <c r="V111" s="4">
        <f>1629135176.92422-1629135176.85131</f>
        <v>7.2910070419311523E-2</v>
      </c>
      <c r="W111" s="3">
        <f>V111*1000</f>
        <v>72.910070419311523</v>
      </c>
      <c r="Y111" s="4">
        <f>1629135176.9247-1629135176.85131</f>
        <v>7.3390007019042969E-2</v>
      </c>
      <c r="Z111" s="3">
        <f>Y111*1000</f>
        <v>73.390007019042969</v>
      </c>
      <c r="AB111" s="4">
        <f>1629135176.92539-1629135176.85131</f>
        <v>7.4079990386962891E-2</v>
      </c>
      <c r="AC111" s="3">
        <f>AB111*1000</f>
        <v>74.079990386962891</v>
      </c>
      <c r="AE111" s="4">
        <f>1629135176.92495-1629135176.85131</f>
        <v>7.3639869689941406E-2</v>
      </c>
      <c r="AF111" s="3">
        <f>AE111*1000</f>
        <v>73.639869689941406</v>
      </c>
    </row>
    <row r="112" spans="1:32" x14ac:dyDescent="0.3">
      <c r="A112" s="4">
        <f>1629135331.45281-1629135331.3861</f>
        <v>6.6709995269775391E-2</v>
      </c>
      <c r="B112" s="3">
        <f t="shared" ref="B112:B120" si="64">A112*1000</f>
        <v>66.709995269775391</v>
      </c>
      <c r="D112" s="4">
        <f>1629135331.45287-1629135331.3861</f>
        <v>6.6769838333129883E-2</v>
      </c>
      <c r="E112" s="3">
        <f t="shared" ref="E112:E120" si="65">D112*1000</f>
        <v>66.769838333129883</v>
      </c>
      <c r="G112" s="4">
        <f>1629135331.45334-1629135331.3861</f>
        <v>6.7239999771118164E-2</v>
      </c>
      <c r="H112" s="3">
        <f t="shared" ref="H112:H120" si="66">G112*1000</f>
        <v>67.239999771118164</v>
      </c>
      <c r="J112" s="4">
        <f>1629135331.45365-1629135331.3861</f>
        <v>6.7549943923950195E-2</v>
      </c>
      <c r="K112" s="3">
        <f t="shared" ref="K112:K120" si="67">J112*1000</f>
        <v>67.549943923950195</v>
      </c>
      <c r="M112" s="4">
        <f>1629135331.45281-1629135331.3861</f>
        <v>6.6709995269775391E-2</v>
      </c>
      <c r="N112" s="3">
        <f t="shared" ref="N112:N120" si="68">M112*1000</f>
        <v>66.709995269775391</v>
      </c>
      <c r="S112" s="4">
        <f>1629135177.99591-1629135177.92672</f>
        <v>6.9190025329589844E-2</v>
      </c>
      <c r="T112" s="3">
        <f t="shared" ref="T112:T120" si="69">S112*1000</f>
        <v>69.190025329589844</v>
      </c>
      <c r="V112" s="4">
        <f>1629135177.99596-1629135177.92672</f>
        <v>6.9240093231201172E-2</v>
      </c>
      <c r="W112" s="3">
        <f t="shared" ref="W112:W120" si="70">V112*1000</f>
        <v>69.240093231201172</v>
      </c>
      <c r="Y112" s="4">
        <f>1629135177.99647-1629135177.92672</f>
        <v>6.9750070571899414E-2</v>
      </c>
      <c r="Z112" s="3">
        <f t="shared" ref="Z112:Z120" si="71">Y112*1000</f>
        <v>69.750070571899414</v>
      </c>
      <c r="AB112" s="4">
        <f>1629135177.99718-1629135177.92672</f>
        <v>7.0460081100463867E-2</v>
      </c>
      <c r="AC112" s="3">
        <f t="shared" ref="AC112:AC120" si="72">AB112*1000</f>
        <v>70.460081100463867</v>
      </c>
      <c r="AE112" s="4">
        <f>1629135177.99653-1629135177.92672</f>
        <v>6.9810152053833008E-2</v>
      </c>
      <c r="AF112" s="3">
        <f t="shared" ref="AF112:AF120" si="73">AE112*1000</f>
        <v>69.810152053833008</v>
      </c>
    </row>
    <row r="113" spans="1:32" x14ac:dyDescent="0.3">
      <c r="A113" s="4">
        <f>1629135332.52475-1629135332.45751</f>
        <v>6.7239999771118164E-2</v>
      </c>
      <c r="B113" s="3">
        <f t="shared" si="64"/>
        <v>67.239999771118164</v>
      </c>
      <c r="D113" s="4">
        <f>1629135332.52482-1629135332.45751</f>
        <v>6.7310094833374023E-2</v>
      </c>
      <c r="E113" s="3">
        <f t="shared" si="65"/>
        <v>67.310094833374023</v>
      </c>
      <c r="G113" s="4">
        <f>1629135332.52529-1629135332.45751</f>
        <v>6.7780017852783203E-2</v>
      </c>
      <c r="H113" s="3">
        <f t="shared" si="66"/>
        <v>67.780017852783203</v>
      </c>
      <c r="J113" s="4">
        <f>1629135332.52558-1629135332.45751</f>
        <v>6.8069934844970703E-2</v>
      </c>
      <c r="K113" s="3">
        <f t="shared" si="67"/>
        <v>68.069934844970703</v>
      </c>
      <c r="M113" s="4">
        <f>1629135332.52476-1629135332.45751</f>
        <v>6.725001335144043E-2</v>
      </c>
      <c r="N113" s="3">
        <f t="shared" si="68"/>
        <v>67.25001335144043</v>
      </c>
      <c r="S113" s="4">
        <f>1629135179.06794-1629135178.99826</f>
        <v>6.9679975509643555E-2</v>
      </c>
      <c r="T113" s="3">
        <f t="shared" si="69"/>
        <v>69.679975509643555</v>
      </c>
      <c r="V113" s="4">
        <f>1629135179.06797-1629135178.99826</f>
        <v>6.9710016250610352E-2</v>
      </c>
      <c r="W113" s="3">
        <f t="shared" si="70"/>
        <v>69.710016250610352</v>
      </c>
      <c r="Y113" s="4">
        <f>1629135179.06878-1629135178.99826</f>
        <v>7.0519924163818359E-2</v>
      </c>
      <c r="Z113" s="3">
        <f t="shared" si="71"/>
        <v>70.519924163818359</v>
      </c>
      <c r="AB113" s="4">
        <f>1629135179.06944-1629135178.99826</f>
        <v>7.1179866790771484E-2</v>
      </c>
      <c r="AC113" s="3">
        <f t="shared" si="72"/>
        <v>71.179866790771484</v>
      </c>
      <c r="AE113" s="4">
        <f>1629135179.06857-1629135178.99826</f>
        <v>7.0309877395629883E-2</v>
      </c>
      <c r="AF113" s="3">
        <f t="shared" si="73"/>
        <v>70.309877395629883</v>
      </c>
    </row>
    <row r="114" spans="1:32" x14ac:dyDescent="0.3">
      <c r="A114" s="4">
        <f>1629135333.59678-1629135333.5298</f>
        <v>6.6980123519897461E-2</v>
      </c>
      <c r="B114" s="3">
        <f t="shared" si="64"/>
        <v>66.980123519897461</v>
      </c>
      <c r="D114" s="4">
        <f>1629135333.59678-1629135333.5298</f>
        <v>6.6980123519897461E-2</v>
      </c>
      <c r="E114" s="3">
        <f t="shared" si="65"/>
        <v>66.980123519897461</v>
      </c>
      <c r="G114" s="4">
        <f>1629135333.59732-1629135333.5298</f>
        <v>6.75201416015625E-2</v>
      </c>
      <c r="H114" s="3">
        <f t="shared" si="66"/>
        <v>67.5201416015625</v>
      </c>
      <c r="J114" s="4">
        <f>1629135333.59694-1629135333.5298</f>
        <v>6.7140102386474609E-2</v>
      </c>
      <c r="K114" s="3">
        <f t="shared" si="67"/>
        <v>67.140102386474609</v>
      </c>
      <c r="M114" s="4">
        <f>1629135333.59678-1629135333.5298</f>
        <v>6.6980123519897461E-2</v>
      </c>
      <c r="N114" s="3">
        <f t="shared" si="68"/>
        <v>66.980123519897461</v>
      </c>
      <c r="S114" s="4">
        <f>1629135180.14003-1629135180.07056</f>
        <v>6.9469928741455078E-2</v>
      </c>
      <c r="T114" s="3">
        <f t="shared" si="69"/>
        <v>69.469928741455078</v>
      </c>
      <c r="V114" s="4">
        <f>1629135180.14007-1629135180.07056</f>
        <v>6.9509983062744141E-2</v>
      </c>
      <c r="W114" s="3">
        <f t="shared" si="70"/>
        <v>69.509983062744141</v>
      </c>
      <c r="Y114" s="4">
        <f>1629135180.14115-1629135180.07056</f>
        <v>7.0590019226074219E-2</v>
      </c>
      <c r="Z114" s="3">
        <f t="shared" si="71"/>
        <v>70.590019226074219</v>
      </c>
      <c r="AB114" s="4">
        <f>1629135180.14063-1629135180.07056</f>
        <v>7.0070028305053711E-2</v>
      </c>
      <c r="AC114" s="3">
        <f t="shared" si="72"/>
        <v>70.070028305053711</v>
      </c>
      <c r="AE114" s="4">
        <f>1629135180.14059-1629135180.07056</f>
        <v>7.0029973983764648E-2</v>
      </c>
      <c r="AF114" s="3">
        <f t="shared" si="73"/>
        <v>70.029973983764648</v>
      </c>
    </row>
    <row r="115" spans="1:32" x14ac:dyDescent="0.3">
      <c r="A115" s="4">
        <f>1629135334.66876-1629135334.60144</f>
        <v>6.7320108413696289E-2</v>
      </c>
      <c r="B115" s="3">
        <f t="shared" si="64"/>
        <v>67.320108413696289</v>
      </c>
      <c r="D115" s="4">
        <f>1629135334.66887-1629135334.60144</f>
        <v>6.7430019378662109E-2</v>
      </c>
      <c r="E115" s="3">
        <f t="shared" si="65"/>
        <v>67.430019378662109</v>
      </c>
      <c r="G115" s="4">
        <f>1629135334.66935-1629135334.60144</f>
        <v>6.7909955978393555E-2</v>
      </c>
      <c r="H115" s="3">
        <f t="shared" si="66"/>
        <v>67.909955978393555</v>
      </c>
      <c r="J115" s="4">
        <f>1629135334.66876-1629135334.60144</f>
        <v>6.7320108413696289E-2</v>
      </c>
      <c r="K115" s="3">
        <f t="shared" si="67"/>
        <v>67.320108413696289</v>
      </c>
      <c r="M115" s="4">
        <f>1629135334.66876-1629135334.60144</f>
        <v>6.7320108413696289E-2</v>
      </c>
      <c r="N115" s="3">
        <f t="shared" si="68"/>
        <v>67.320108413696289</v>
      </c>
      <c r="S115" s="4">
        <f>1629135181.21182-1629135181.14242</f>
        <v>6.9399833679199219E-2</v>
      </c>
      <c r="T115" s="3">
        <f t="shared" si="69"/>
        <v>69.399833679199219</v>
      </c>
      <c r="V115" s="4">
        <f>1629135181.21186-1629135181.14242</f>
        <v>6.9439888000488281E-2</v>
      </c>
      <c r="W115" s="3">
        <f t="shared" si="70"/>
        <v>69.439888000488281</v>
      </c>
      <c r="Y115" s="4">
        <f>1629135181.2125-1629135181.14242</f>
        <v>7.0080041885375977E-2</v>
      </c>
      <c r="Z115" s="3">
        <f t="shared" si="71"/>
        <v>70.080041885375977</v>
      </c>
      <c r="AB115" s="4">
        <f>1629135181.21238-1629135181.14242</f>
        <v>6.9959878921508789E-2</v>
      </c>
      <c r="AC115" s="3">
        <f t="shared" si="72"/>
        <v>69.959878921508789</v>
      </c>
      <c r="AE115" s="4">
        <f>1629135181.21247-1629135181.14242</f>
        <v>7.005000114440918E-2</v>
      </c>
      <c r="AF115" s="3">
        <f t="shared" si="73"/>
        <v>70.05000114440918</v>
      </c>
    </row>
    <row r="116" spans="1:32" x14ac:dyDescent="0.3">
      <c r="A116" s="4">
        <f>1629135335.74075-1629135335.67394</f>
        <v>6.6810131072998047E-2</v>
      </c>
      <c r="B116" s="3">
        <f t="shared" si="64"/>
        <v>66.810131072998047</v>
      </c>
      <c r="D116" s="4">
        <f>1629135335.74075-1629135335.67394</f>
        <v>6.6810131072998047E-2</v>
      </c>
      <c r="E116" s="3">
        <f t="shared" si="65"/>
        <v>66.810131072998047</v>
      </c>
      <c r="G116" s="4">
        <f>1629135335.74129-1629135335.67394</f>
        <v>6.7350149154663086E-2</v>
      </c>
      <c r="H116" s="3">
        <f t="shared" si="66"/>
        <v>67.350149154663086</v>
      </c>
      <c r="J116" s="4">
        <f>1629135335.74076-1629135335.67394</f>
        <v>6.6820144653320313E-2</v>
      </c>
      <c r="K116" s="3">
        <f t="shared" si="67"/>
        <v>66.820144653320313</v>
      </c>
      <c r="M116" s="4">
        <f>1629135335.74086-1629135335.67394</f>
        <v>6.6920042037963867E-2</v>
      </c>
      <c r="N116" s="3">
        <f t="shared" si="68"/>
        <v>66.920042037963867</v>
      </c>
      <c r="S116" s="4">
        <f>1629135182.28388-1629135182.21446</f>
        <v>6.9420099258422852E-2</v>
      </c>
      <c r="T116" s="3">
        <f t="shared" si="69"/>
        <v>69.420099258422852</v>
      </c>
      <c r="V116" s="4">
        <f>1629135182.28439-1629135182.21446</f>
        <v>6.9930076599121094E-2</v>
      </c>
      <c r="W116" s="3">
        <f t="shared" si="70"/>
        <v>69.930076599121094</v>
      </c>
      <c r="Y116" s="4">
        <f>1629135182.28381-1629135182.21446</f>
        <v>6.9350004196166992E-2</v>
      </c>
      <c r="Z116" s="3">
        <f t="shared" si="71"/>
        <v>69.350004196166992</v>
      </c>
      <c r="AB116" s="4">
        <f>1629135182.28497-1629135182.21446</f>
        <v>7.0510149002075195E-2</v>
      </c>
      <c r="AC116" s="3">
        <f t="shared" si="72"/>
        <v>70.510149002075195</v>
      </c>
      <c r="AE116" s="4">
        <f>1629135182.28446-1629135182.21446</f>
        <v>7.0000171661376953E-2</v>
      </c>
      <c r="AF116" s="3">
        <f t="shared" si="73"/>
        <v>70.000171661376953</v>
      </c>
    </row>
    <row r="117" spans="1:32" x14ac:dyDescent="0.3">
      <c r="A117" s="4">
        <f>1629135336.81299-1629135336.74598</f>
        <v>6.7009925842285156E-2</v>
      </c>
      <c r="B117" s="3">
        <f t="shared" si="64"/>
        <v>67.009925842285156</v>
      </c>
      <c r="D117" s="4">
        <f>1629135336.81289-1629135336.74598</f>
        <v>6.6910028457641602E-2</v>
      </c>
      <c r="E117" s="3">
        <f t="shared" si="65"/>
        <v>66.910028457641602</v>
      </c>
      <c r="G117" s="4">
        <f>1629135336.81353-1629135336.74598</f>
        <v>6.7549943923950195E-2</v>
      </c>
      <c r="H117" s="3">
        <f t="shared" si="66"/>
        <v>67.549943923950195</v>
      </c>
      <c r="J117" s="4">
        <f>1629135336.81348-1629135336.74598</f>
        <v>6.7499876022338867E-2</v>
      </c>
      <c r="K117" s="3">
        <f t="shared" si="67"/>
        <v>67.499876022338867</v>
      </c>
      <c r="M117" s="4">
        <f>1629135336.81289-1629135336.74598</f>
        <v>6.6910028457641602E-2</v>
      </c>
      <c r="N117" s="3">
        <f t="shared" si="68"/>
        <v>66.910028457641602</v>
      </c>
      <c r="S117" s="4">
        <f>1629135183.35584-1629135183.28589</f>
        <v>6.9949865341186523E-2</v>
      </c>
      <c r="T117" s="3">
        <f t="shared" si="69"/>
        <v>69.949865341186523</v>
      </c>
      <c r="V117" s="4">
        <f>1629135183.35639-1629135183.28589</f>
        <v>7.0499897003173828E-2</v>
      </c>
      <c r="W117" s="3">
        <f t="shared" si="70"/>
        <v>70.499897003173828</v>
      </c>
      <c r="Y117" s="4">
        <f>1629135183.3559-1629135183.28589</f>
        <v>7.0009946823120117E-2</v>
      </c>
      <c r="Z117" s="3">
        <f t="shared" si="71"/>
        <v>70.009946823120117</v>
      </c>
      <c r="AB117" s="4">
        <f>1629135183.35647-1629135183.28589</f>
        <v>7.0580005645751953E-2</v>
      </c>
      <c r="AC117" s="3">
        <f t="shared" si="72"/>
        <v>70.580005645751953</v>
      </c>
      <c r="AE117" s="4">
        <f>1629135183.35639-1629135183.28589</f>
        <v>7.0499897003173828E-2</v>
      </c>
      <c r="AF117" s="3">
        <f t="shared" si="73"/>
        <v>70.499897003173828</v>
      </c>
    </row>
    <row r="118" spans="1:32" x14ac:dyDescent="0.3">
      <c r="A118" s="4">
        <f>1629135337.88487-1629135337.81804</f>
        <v>6.6830158233642578E-2</v>
      </c>
      <c r="B118" s="3">
        <f t="shared" si="64"/>
        <v>66.830158233642578</v>
      </c>
      <c r="D118" s="4">
        <f>1629135337.88478-1629135337.81804</f>
        <v>6.6740036010742188E-2</v>
      </c>
      <c r="E118" s="3">
        <f t="shared" si="65"/>
        <v>66.740036010742188</v>
      </c>
      <c r="G118" s="4">
        <f>1629135337.88525-1629135337.81804</f>
        <v>6.7210197448730469E-2</v>
      </c>
      <c r="H118" s="3">
        <f t="shared" si="66"/>
        <v>67.210197448730469</v>
      </c>
      <c r="J118" s="4">
        <f>1629135337.88532-1629135337.81804</f>
        <v>6.7280054092407227E-2</v>
      </c>
      <c r="K118" s="3">
        <f t="shared" si="67"/>
        <v>67.280054092407227</v>
      </c>
      <c r="M118" s="4">
        <f>1629135337.88478-1629135337.81804</f>
        <v>6.6740036010742188E-2</v>
      </c>
      <c r="N118" s="3">
        <f t="shared" si="68"/>
        <v>66.740036010742188</v>
      </c>
      <c r="S118" s="4">
        <f>1629135184.42782-1629135184.35837</f>
        <v>6.9449901580810547E-2</v>
      </c>
      <c r="T118" s="3">
        <f t="shared" si="69"/>
        <v>69.449901580810547</v>
      </c>
      <c r="V118" s="4">
        <f>1629135184.42849-1629135184.35837</f>
        <v>7.0119857788085938E-2</v>
      </c>
      <c r="W118" s="3">
        <f t="shared" si="70"/>
        <v>70.119857788085938</v>
      </c>
      <c r="Y118" s="4">
        <f>1629135184.42788-1629135184.35837</f>
        <v>6.9509983062744141E-2</v>
      </c>
      <c r="Z118" s="3">
        <f t="shared" si="71"/>
        <v>69.509983062744141</v>
      </c>
      <c r="AB118" s="4">
        <f>1629135184.42874-1629135184.35837</f>
        <v>7.0369958877563477E-2</v>
      </c>
      <c r="AC118" s="3">
        <f t="shared" si="72"/>
        <v>70.369958877563477</v>
      </c>
      <c r="AE118" s="4">
        <f>1629135184.42841-1629135184.35837</f>
        <v>7.0039987564086914E-2</v>
      </c>
      <c r="AF118" s="3">
        <f t="shared" si="73"/>
        <v>70.039987564086914</v>
      </c>
    </row>
    <row r="119" spans="1:32" x14ac:dyDescent="0.3">
      <c r="A119" s="4">
        <f>1629135338.96075-1629135338.88999</f>
        <v>7.0760011672973633E-2</v>
      </c>
      <c r="B119" s="3">
        <f t="shared" si="64"/>
        <v>70.760011672973633</v>
      </c>
      <c r="D119" s="4">
        <f>1629135338.96075-1629135338.88999</f>
        <v>7.0760011672973633E-2</v>
      </c>
      <c r="E119" s="3">
        <f t="shared" si="65"/>
        <v>70.760011672973633</v>
      </c>
      <c r="G119" s="4">
        <f>1629135338.96128-1629135338.88999</f>
        <v>7.1290016174316406E-2</v>
      </c>
      <c r="H119" s="3">
        <f t="shared" si="66"/>
        <v>71.290016174316406</v>
      </c>
      <c r="J119" s="4">
        <f>1629135338.96122-1629135338.88999</f>
        <v>7.1229934692382813E-2</v>
      </c>
      <c r="K119" s="3">
        <f t="shared" si="67"/>
        <v>71.229934692382813</v>
      </c>
      <c r="M119" s="4">
        <f>1629135338.96085-1629135338.88999</f>
        <v>7.0859909057617188E-2</v>
      </c>
      <c r="N119" s="3">
        <f t="shared" si="68"/>
        <v>70.859909057617188</v>
      </c>
      <c r="S119" s="4">
        <f>1629135185.49974-1629135185.43034</f>
        <v>6.9399833679199219E-2</v>
      </c>
      <c r="T119" s="3">
        <f t="shared" si="69"/>
        <v>69.399833679199219</v>
      </c>
      <c r="V119" s="4">
        <f>1629135185.50026-1629135185.43034</f>
        <v>6.9920063018798828E-2</v>
      </c>
      <c r="W119" s="3">
        <f t="shared" si="70"/>
        <v>69.920063018798828</v>
      </c>
      <c r="Y119" s="4">
        <f>1629135185.49979-1629135185.43034</f>
        <v>6.9449901580810547E-2</v>
      </c>
      <c r="Z119" s="3">
        <f t="shared" si="71"/>
        <v>69.449901580810547</v>
      </c>
      <c r="AB119" s="4">
        <f>1629135185.50037-1629135185.43034</f>
        <v>7.0029973983764648E-2</v>
      </c>
      <c r="AC119" s="3">
        <f t="shared" si="72"/>
        <v>70.029973983764648</v>
      </c>
      <c r="AE119" s="4">
        <f>1629135185.50027-1629135185.43034</f>
        <v>6.9929838180541992E-2</v>
      </c>
      <c r="AF119" s="3">
        <f t="shared" si="73"/>
        <v>69.929838180541992</v>
      </c>
    </row>
    <row r="120" spans="1:32" x14ac:dyDescent="0.3">
      <c r="A120" s="4">
        <f>1629135340.02878-1629135339.9655</f>
        <v>6.3279867172241211E-2</v>
      </c>
      <c r="B120" s="3">
        <f t="shared" si="64"/>
        <v>63.279867172241211</v>
      </c>
      <c r="D120" s="4">
        <f>1629135340.02869-1629135339.9655</f>
        <v>6.3189983367919922E-2</v>
      </c>
      <c r="E120" s="3">
        <f t="shared" si="65"/>
        <v>63.189983367919922</v>
      </c>
      <c r="G120" s="4">
        <f>1629135340.03325-1629135339.9655</f>
        <v>6.7749977111816406E-2</v>
      </c>
      <c r="H120" s="3">
        <f t="shared" si="66"/>
        <v>67.749977111816406</v>
      </c>
      <c r="J120" s="4">
        <f>1629135340.03335-1629135339.9655</f>
        <v>6.7849874496459961E-2</v>
      </c>
      <c r="K120" s="3">
        <f t="shared" si="67"/>
        <v>67.849874496459961</v>
      </c>
      <c r="M120" s="4">
        <f>1629135340.02869-1629135339.9655</f>
        <v>6.3189983367919922E-2</v>
      </c>
      <c r="N120" s="3">
        <f t="shared" si="68"/>
        <v>63.189983367919922</v>
      </c>
      <c r="S120" s="4">
        <f>1629135186.57175-1629135186.50223</f>
        <v>6.9519996643066406E-2</v>
      </c>
      <c r="T120" s="3">
        <f t="shared" si="69"/>
        <v>69.519996643066406</v>
      </c>
      <c r="V120" s="4">
        <f>1629135186.57642-1629135186.50223</f>
        <v>7.4190139770507813E-2</v>
      </c>
      <c r="W120" s="3">
        <f t="shared" si="70"/>
        <v>74.190139770507813</v>
      </c>
      <c r="Y120" s="4">
        <f>1629135186.57181-1629135186.50223</f>
        <v>6.9580078125E-2</v>
      </c>
      <c r="Z120" s="3">
        <f t="shared" si="71"/>
        <v>69.580078125</v>
      </c>
      <c r="AB120" s="4">
        <f>1629135186.57265-1629135186.50223</f>
        <v>7.0420026779174805E-2</v>
      </c>
      <c r="AC120" s="3">
        <f t="shared" si="72"/>
        <v>70.420026779174805</v>
      </c>
      <c r="AE120" s="4">
        <f>1629135186.57653-1629135186.50223</f>
        <v>7.4300050735473633E-2</v>
      </c>
      <c r="AF120" s="3">
        <f t="shared" si="73"/>
        <v>74.300050735473633</v>
      </c>
    </row>
    <row r="121" spans="1:32" x14ac:dyDescent="0.3">
      <c r="B121" s="2">
        <f>AVERAGE(B111:B120)</f>
        <v>67.017030715942383</v>
      </c>
      <c r="E121" s="2">
        <f>AVERAGE(E111:E120)</f>
        <v>67.013025283813477</v>
      </c>
      <c r="H121" s="2">
        <f>AVERAGE(H111:H120)</f>
        <v>67.960047721862793</v>
      </c>
      <c r="K121" s="2">
        <f>AVERAGE(K111:K120)</f>
        <v>67.844009399414063</v>
      </c>
      <c r="N121" s="2">
        <f>AVERAGE(N111:N120)</f>
        <v>67.017030715942383</v>
      </c>
      <c r="T121" s="2">
        <f>AVERAGE(T111:T120)</f>
        <v>69.83795166015625</v>
      </c>
      <c r="W121" s="2">
        <f>AVERAGE(W111:W120)</f>
        <v>70.547008514404297</v>
      </c>
      <c r="Z121" s="2">
        <f>AVERAGE(Z111:Z120)</f>
        <v>70.222997665405273</v>
      </c>
      <c r="AC121" s="2">
        <f>AVERAGE(AC111:AC120)</f>
        <v>70.765995979309082</v>
      </c>
      <c r="AF121" s="2">
        <f>AVERAGE(AF111:AF120)</f>
        <v>70.860981941223145</v>
      </c>
    </row>
    <row r="123" spans="1:32" x14ac:dyDescent="0.3">
      <c r="A123" s="6" t="s">
        <v>42</v>
      </c>
      <c r="B123" s="6"/>
      <c r="D123" s="6" t="s">
        <v>43</v>
      </c>
      <c r="E123" s="6"/>
      <c r="G123" s="6" t="s">
        <v>44</v>
      </c>
      <c r="H123" s="6"/>
      <c r="J123" s="6" t="s">
        <v>45</v>
      </c>
      <c r="K123" s="6"/>
      <c r="M123" s="6" t="s">
        <v>46</v>
      </c>
      <c r="N123" s="6"/>
      <c r="S123" s="6" t="s">
        <v>42</v>
      </c>
      <c r="T123" s="6"/>
      <c r="V123" s="6" t="s">
        <v>43</v>
      </c>
      <c r="W123" s="6"/>
      <c r="Y123" s="6" t="s">
        <v>44</v>
      </c>
      <c r="Z123" s="6"/>
      <c r="AB123" s="6" t="s">
        <v>45</v>
      </c>
      <c r="AC123" s="6"/>
      <c r="AE123" s="6" t="s">
        <v>46</v>
      </c>
      <c r="AF123" s="6"/>
    </row>
    <row r="124" spans="1:32" ht="45" customHeight="1" x14ac:dyDescent="0.3">
      <c r="A124" s="8" t="s">
        <v>62</v>
      </c>
      <c r="B124" s="8"/>
      <c r="D124" s="8" t="s">
        <v>62</v>
      </c>
      <c r="E124" s="8"/>
      <c r="G124" s="8" t="s">
        <v>62</v>
      </c>
      <c r="H124" s="8"/>
      <c r="J124" s="8" t="s">
        <v>62</v>
      </c>
      <c r="K124" s="8"/>
      <c r="M124" s="8" t="s">
        <v>62</v>
      </c>
      <c r="N124" s="8"/>
      <c r="S124" s="8" t="s">
        <v>63</v>
      </c>
      <c r="T124" s="8"/>
      <c r="V124" s="8" t="s">
        <v>63</v>
      </c>
      <c r="W124" s="8"/>
      <c r="Y124" s="8" t="s">
        <v>63</v>
      </c>
      <c r="Z124" s="8"/>
      <c r="AB124" s="8" t="s">
        <v>63</v>
      </c>
      <c r="AC124" s="8"/>
      <c r="AE124" s="8" t="s">
        <v>63</v>
      </c>
      <c r="AF124" s="8"/>
    </row>
    <row r="125" spans="1:32" x14ac:dyDescent="0.3">
      <c r="A125" s="1" t="s">
        <v>1</v>
      </c>
      <c r="B125" s="1" t="s">
        <v>0</v>
      </c>
      <c r="D125" s="1" t="s">
        <v>1</v>
      </c>
      <c r="E125" s="1" t="s">
        <v>0</v>
      </c>
      <c r="G125" s="1" t="s">
        <v>1</v>
      </c>
      <c r="H125" s="1" t="s">
        <v>0</v>
      </c>
      <c r="J125" s="1" t="s">
        <v>1</v>
      </c>
      <c r="K125" s="1" t="s">
        <v>0</v>
      </c>
      <c r="M125" s="1" t="s">
        <v>1</v>
      </c>
      <c r="N125" s="1" t="s">
        <v>0</v>
      </c>
      <c r="S125" s="1" t="s">
        <v>1</v>
      </c>
      <c r="T125" s="1" t="s">
        <v>0</v>
      </c>
      <c r="V125" s="1" t="s">
        <v>1</v>
      </c>
      <c r="W125" s="1" t="s">
        <v>0</v>
      </c>
      <c r="Y125" s="1" t="s">
        <v>1</v>
      </c>
      <c r="Z125" s="1" t="s">
        <v>0</v>
      </c>
      <c r="AB125" s="1" t="s">
        <v>1</v>
      </c>
      <c r="AC125" s="1" t="s">
        <v>0</v>
      </c>
      <c r="AE125" s="1" t="s">
        <v>1</v>
      </c>
      <c r="AF125" s="1" t="s">
        <v>0</v>
      </c>
    </row>
    <row r="126" spans="1:32" x14ac:dyDescent="0.3">
      <c r="A126" s="4">
        <f>1629135330.38069-1629135330.31371</f>
        <v>6.6980123519897461E-2</v>
      </c>
      <c r="B126" s="3">
        <f>A126*1000</f>
        <v>66.980123519897461</v>
      </c>
      <c r="D126" s="4">
        <f>1629135330.3813-1629135330.31371</f>
        <v>6.7589998245239258E-2</v>
      </c>
      <c r="E126" s="3">
        <f>D126*1000</f>
        <v>67.589998245239258</v>
      </c>
      <c r="G126" s="4">
        <f>1629135330.38045-1629135330.31371</f>
        <v>6.6740036010742188E-2</v>
      </c>
      <c r="H126" s="3">
        <f>G126*1000</f>
        <v>66.740036010742188</v>
      </c>
      <c r="J126" s="4">
        <f>1629135330.38045-1629135330.31371</f>
        <v>6.6740036010742188E-2</v>
      </c>
      <c r="K126" s="3">
        <f>J126*1000</f>
        <v>66.740036010742188</v>
      </c>
      <c r="M126" s="4">
        <f>1629135330.38052-1629135330.31371</f>
        <v>6.6810131072998047E-2</v>
      </c>
      <c r="N126" s="3">
        <f>M126*1000</f>
        <v>66.810131072998047</v>
      </c>
      <c r="S126" s="4">
        <f>1629135176.92552-1629135176.85131</f>
        <v>7.4209928512573242E-2</v>
      </c>
      <c r="T126" s="3">
        <f>S126*1000</f>
        <v>74.209928512573242</v>
      </c>
      <c r="V126" s="4">
        <f>1629135176.92626-1629135176.85131</f>
        <v>7.4949979782104492E-2</v>
      </c>
      <c r="W126" s="3">
        <f>V126*1000</f>
        <v>74.949979782104492</v>
      </c>
      <c r="Y126" s="4">
        <f>1629135176.92548-1629135176.85131</f>
        <v>7.416987419128418E-2</v>
      </c>
      <c r="Z126" s="3">
        <f>Y126*1000</f>
        <v>74.16987419128418</v>
      </c>
      <c r="AB126" s="4">
        <f>1629135176.92603-1629135176.85131</f>
        <v>7.4719905853271484E-2</v>
      </c>
      <c r="AC126" s="3">
        <f>AB126*1000</f>
        <v>74.719905853271484</v>
      </c>
      <c r="AE126" s="4">
        <f>1629135176.92564-1629135176.85131</f>
        <v>7.433009147644043E-2</v>
      </c>
      <c r="AF126" s="3">
        <f>AE126*1000</f>
        <v>74.33009147644043</v>
      </c>
    </row>
    <row r="127" spans="1:32" x14ac:dyDescent="0.3">
      <c r="A127" s="4">
        <f>1629135331.45277-1629135331.3861</f>
        <v>6.6669940948486328E-2</v>
      </c>
      <c r="B127" s="3">
        <f t="shared" ref="B127:B135" si="74">A127*1000</f>
        <v>66.669940948486328</v>
      </c>
      <c r="D127" s="4">
        <f>1629135331.45333-1629135331.3861</f>
        <v>6.7229986190795898E-2</v>
      </c>
      <c r="E127" s="3">
        <f t="shared" ref="E127:E135" si="75">D127*1000</f>
        <v>67.229986190795898</v>
      </c>
      <c r="G127" s="4">
        <f>1629135331.45232-1629135331.3861</f>
        <v>6.622004508972168E-2</v>
      </c>
      <c r="H127" s="3">
        <f t="shared" ref="H127:H135" si="76">G127*1000</f>
        <v>66.22004508972168</v>
      </c>
      <c r="J127" s="4">
        <f>1629135331.4524-1629135331.3861</f>
        <v>6.6299915313720703E-2</v>
      </c>
      <c r="K127" s="3">
        <f t="shared" ref="K127:K135" si="77">J127*1000</f>
        <v>66.299915313720703</v>
      </c>
      <c r="M127" s="4">
        <f>1629135331.45232-1629135331.3861</f>
        <v>6.622004508972168E-2</v>
      </c>
      <c r="N127" s="3">
        <f t="shared" ref="N127:N135" si="78">M127*1000</f>
        <v>66.22004508972168</v>
      </c>
      <c r="S127" s="4">
        <f>1629135177.99724-1629135177.92672</f>
        <v>7.0520162582397461E-2</v>
      </c>
      <c r="T127" s="3">
        <f t="shared" ref="T127:T135" si="79">S127*1000</f>
        <v>70.520162582397461</v>
      </c>
      <c r="V127" s="4">
        <f>1629135177.99784-1629135177.92672</f>
        <v>7.1120023727416992E-2</v>
      </c>
      <c r="W127" s="3">
        <f t="shared" ref="W127:W135" si="80">V127*1000</f>
        <v>71.120023727416992</v>
      </c>
      <c r="Y127" s="4">
        <f>1629135177.99722-1629135177.92672</f>
        <v>7.050013542175293E-2</v>
      </c>
      <c r="Z127" s="3">
        <f t="shared" ref="Z127:Z135" si="81">Y127*1000</f>
        <v>70.50013542175293</v>
      </c>
      <c r="AB127" s="4">
        <f>1629135177.99827-1629135177.92672</f>
        <v>7.1550130844116211E-2</v>
      </c>
      <c r="AC127" s="3">
        <f t="shared" ref="AC127:AC135" si="82">AB127*1000</f>
        <v>71.550130844116211</v>
      </c>
      <c r="AE127" s="4">
        <f>1629135177.99742-1629135177.92672</f>
        <v>7.0700168609619141E-2</v>
      </c>
      <c r="AF127" s="3">
        <f t="shared" ref="AF127:AF135" si="83">AE127*1000</f>
        <v>70.700168609619141</v>
      </c>
    </row>
    <row r="128" spans="1:32" x14ac:dyDescent="0.3">
      <c r="A128" s="4">
        <f>1629135332.52474-1629135332.45751</f>
        <v>6.7229986190795898E-2</v>
      </c>
      <c r="B128" s="3">
        <f t="shared" si="74"/>
        <v>67.229986190795898</v>
      </c>
      <c r="D128" s="4">
        <f>1629135332.52484-1629135332.45751</f>
        <v>6.7330121994018555E-2</v>
      </c>
      <c r="E128" s="3">
        <f t="shared" si="75"/>
        <v>67.330121994018555</v>
      </c>
      <c r="G128" s="4">
        <f>1629135332.52435-1629135332.45751</f>
        <v>6.6839933395385742E-2</v>
      </c>
      <c r="H128" s="3">
        <f t="shared" si="76"/>
        <v>66.839933395385742</v>
      </c>
      <c r="J128" s="4">
        <f>1629135332.52428-1629135332.45751</f>
        <v>6.6770076751708984E-2</v>
      </c>
      <c r="K128" s="3">
        <f t="shared" si="77"/>
        <v>66.770076751708984</v>
      </c>
      <c r="M128" s="4">
        <f>1629135332.52427-1629135332.45751</f>
        <v>6.6760063171386719E-2</v>
      </c>
      <c r="N128" s="3">
        <f t="shared" si="78"/>
        <v>66.760063171386719</v>
      </c>
      <c r="S128" s="4">
        <f>1629135179.06918-1629135178.99826</f>
        <v>7.0919990539550781E-2</v>
      </c>
      <c r="T128" s="3">
        <f t="shared" si="79"/>
        <v>70.919990539550781</v>
      </c>
      <c r="V128" s="4">
        <f>1629135179.06987-1629135178.99826</f>
        <v>7.1609973907470703E-2</v>
      </c>
      <c r="W128" s="3">
        <f t="shared" si="80"/>
        <v>71.609973907470703</v>
      </c>
      <c r="Y128" s="4">
        <f>1629135179.06922-1629135178.99826</f>
        <v>7.0960044860839844E-2</v>
      </c>
      <c r="Z128" s="3">
        <f t="shared" si="81"/>
        <v>70.960044860839844</v>
      </c>
      <c r="AB128" s="4">
        <f>1629135179.07021-1629135178.99826</f>
        <v>7.1949958801269531E-2</v>
      </c>
      <c r="AC128" s="3">
        <f t="shared" si="82"/>
        <v>71.949958801269531</v>
      </c>
      <c r="AE128" s="4">
        <f>1629135179.06943-1629135178.99826</f>
        <v>7.117009162902832E-2</v>
      </c>
      <c r="AF128" s="3">
        <f t="shared" si="83"/>
        <v>71.17009162902832</v>
      </c>
    </row>
    <row r="129" spans="1:32" x14ac:dyDescent="0.3">
      <c r="A129" s="4">
        <f>1629135333.59622-1629135333.5298</f>
        <v>6.6420078277587891E-2</v>
      </c>
      <c r="B129" s="3">
        <f t="shared" si="74"/>
        <v>66.420078277587891</v>
      </c>
      <c r="D129" s="4">
        <f>1629135333.59622-1629135333.5298</f>
        <v>6.6420078277587891E-2</v>
      </c>
      <c r="E129" s="3">
        <f t="shared" si="75"/>
        <v>66.420078277587891</v>
      </c>
      <c r="G129" s="4">
        <f>1629135333.59678-1629135333.5298</f>
        <v>6.6980123519897461E-2</v>
      </c>
      <c r="H129" s="3">
        <f t="shared" si="76"/>
        <v>66.980123519897461</v>
      </c>
      <c r="J129" s="4">
        <f>1629135333.59622-1629135333.5298</f>
        <v>6.6420078277587891E-2</v>
      </c>
      <c r="K129" s="3">
        <f t="shared" si="77"/>
        <v>66.420078277587891</v>
      </c>
      <c r="M129" s="4">
        <f>1629135333.59633-1629135333.5298</f>
        <v>6.6529989242553711E-2</v>
      </c>
      <c r="N129" s="3">
        <f t="shared" si="78"/>
        <v>66.529989242553711</v>
      </c>
      <c r="S129" s="4">
        <f>1629135180.14137-1629135180.07056</f>
        <v>7.0810079574584961E-2</v>
      </c>
      <c r="T129" s="3">
        <f t="shared" si="79"/>
        <v>70.810079574584961</v>
      </c>
      <c r="V129" s="4">
        <f>1629135180.14198-1629135180.07056</f>
        <v>7.1419954299926758E-2</v>
      </c>
      <c r="W129" s="3">
        <f t="shared" si="80"/>
        <v>71.419954299926758</v>
      </c>
      <c r="Y129" s="4">
        <f>1629135180.14137-1629135180.07056</f>
        <v>7.0810079574584961E-2</v>
      </c>
      <c r="Z129" s="3">
        <f t="shared" si="81"/>
        <v>70.810079574584961</v>
      </c>
      <c r="AB129" s="4">
        <f>1629135180.14222-1629135180.07056</f>
        <v>7.1660041809082031E-2</v>
      </c>
      <c r="AC129" s="3">
        <f t="shared" si="82"/>
        <v>71.660041809082031</v>
      </c>
      <c r="AE129" s="4">
        <f>1629135180.14153-1629135180.07056</f>
        <v>7.0970058441162109E-2</v>
      </c>
      <c r="AF129" s="3">
        <f t="shared" si="83"/>
        <v>70.970058441162109</v>
      </c>
    </row>
    <row r="130" spans="1:32" x14ac:dyDescent="0.3">
      <c r="A130" s="4">
        <f>1629135334.66824-1629135334.60144</f>
        <v>6.6800117492675781E-2</v>
      </c>
      <c r="B130" s="3">
        <f t="shared" si="74"/>
        <v>66.800117492675781</v>
      </c>
      <c r="D130" s="4">
        <f>1629135334.66878-1629135334.60144</f>
        <v>6.734013557434082E-2</v>
      </c>
      <c r="E130" s="3">
        <f t="shared" si="75"/>
        <v>67.34013557434082</v>
      </c>
      <c r="G130" s="4">
        <f>1629135334.66824-1629135334.60144</f>
        <v>6.6800117492675781E-2</v>
      </c>
      <c r="H130" s="3">
        <f t="shared" si="76"/>
        <v>66.800117492675781</v>
      </c>
      <c r="J130" s="4">
        <f>1629135334.66824-1629135334.60144</f>
        <v>6.6800117492675781E-2</v>
      </c>
      <c r="K130" s="3">
        <f t="shared" si="77"/>
        <v>66.800117492675781</v>
      </c>
      <c r="M130" s="4">
        <f>1629135334.66836-1629135334.60144</f>
        <v>6.6920042037963867E-2</v>
      </c>
      <c r="N130" s="3">
        <f t="shared" si="78"/>
        <v>66.920042037963867</v>
      </c>
      <c r="S130" s="4">
        <f>1629135181.21318-1629135181.14242</f>
        <v>7.0760011672973633E-2</v>
      </c>
      <c r="T130" s="3">
        <f t="shared" si="79"/>
        <v>70.760011672973633</v>
      </c>
      <c r="V130" s="4">
        <f>1629135181.21378-1629135181.14242</f>
        <v>7.1359872817993164E-2</v>
      </c>
      <c r="W130" s="3">
        <f t="shared" si="80"/>
        <v>71.359872817993164</v>
      </c>
      <c r="Y130" s="4">
        <f>1629135181.21312-1629135181.14242</f>
        <v>7.0699930191040039E-2</v>
      </c>
      <c r="Z130" s="3">
        <f t="shared" si="81"/>
        <v>70.699930191040039</v>
      </c>
      <c r="AB130" s="4">
        <f>1629135181.21398-1629135181.14242</f>
        <v>7.1559906005859375E-2</v>
      </c>
      <c r="AC130" s="3">
        <f t="shared" si="82"/>
        <v>71.559906005859375</v>
      </c>
      <c r="AE130" s="4">
        <f>1629135181.21328-1629135181.14242</f>
        <v>7.0859909057617188E-2</v>
      </c>
      <c r="AF130" s="3">
        <f t="shared" si="83"/>
        <v>70.859909057617188</v>
      </c>
    </row>
    <row r="131" spans="1:32" x14ac:dyDescent="0.3">
      <c r="A131" s="4">
        <f>1629135335.74023-1629135335.67394</f>
        <v>6.6290140151977539E-2</v>
      </c>
      <c r="B131" s="3">
        <f t="shared" si="74"/>
        <v>66.290140151977539</v>
      </c>
      <c r="D131" s="4">
        <f>1629135335.74084-1629135335.67394</f>
        <v>6.6900014877319336E-2</v>
      </c>
      <c r="E131" s="3">
        <f t="shared" si="75"/>
        <v>66.900014877319336</v>
      </c>
      <c r="G131" s="4">
        <f>1629135335.74023-1629135335.67394</f>
        <v>6.6290140151977539E-2</v>
      </c>
      <c r="H131" s="3">
        <f t="shared" si="76"/>
        <v>66.290140151977539</v>
      </c>
      <c r="J131" s="4">
        <f>1629135335.74035-1629135335.67394</f>
        <v>6.6410064697265625E-2</v>
      </c>
      <c r="K131" s="3">
        <f t="shared" si="77"/>
        <v>66.410064697265625</v>
      </c>
      <c r="M131" s="4">
        <f>1629135335.74023-1629135335.67394</f>
        <v>6.6290140151977539E-2</v>
      </c>
      <c r="N131" s="3">
        <f t="shared" si="78"/>
        <v>66.290140151977539</v>
      </c>
      <c r="S131" s="4">
        <f>1629135182.28525-1629135182.21446</f>
        <v>7.079005241394043E-2</v>
      </c>
      <c r="T131" s="3">
        <f t="shared" si="79"/>
        <v>70.79005241394043</v>
      </c>
      <c r="V131" s="4">
        <f>1629135182.28588-1629135182.21446</f>
        <v>7.1420192718505859E-2</v>
      </c>
      <c r="W131" s="3">
        <f t="shared" si="80"/>
        <v>71.420192718505859</v>
      </c>
      <c r="Y131" s="4">
        <f>1629135182.28521-1629135182.21446</f>
        <v>7.0749998092651367E-2</v>
      </c>
      <c r="Z131" s="3">
        <f t="shared" si="81"/>
        <v>70.749998092651367</v>
      </c>
      <c r="AB131" s="4">
        <f>1629135182.28582-1629135182.21446</f>
        <v>7.1360111236572266E-2</v>
      </c>
      <c r="AC131" s="3">
        <f t="shared" si="82"/>
        <v>71.360111236572266</v>
      </c>
      <c r="AE131" s="4">
        <f>1629135182.28536-1629135182.21446</f>
        <v>7.0900201797485352E-2</v>
      </c>
      <c r="AF131" s="3">
        <f t="shared" si="83"/>
        <v>70.900201797485352</v>
      </c>
    </row>
    <row r="132" spans="1:32" x14ac:dyDescent="0.3">
      <c r="A132" s="4">
        <f>1629135336.81235-1629135336.74598</f>
        <v>6.6370010375976563E-2</v>
      </c>
      <c r="B132" s="3">
        <f t="shared" si="74"/>
        <v>66.370010375976563</v>
      </c>
      <c r="D132" s="4">
        <f>1629135336.81298-1629135336.74598</f>
        <v>6.6999912261962891E-2</v>
      </c>
      <c r="E132" s="3">
        <f t="shared" si="75"/>
        <v>66.999912261962891</v>
      </c>
      <c r="G132" s="4">
        <f>1629135336.81245-1629135336.74598</f>
        <v>6.6469907760620117E-2</v>
      </c>
      <c r="H132" s="3">
        <f t="shared" si="76"/>
        <v>66.469907760620117</v>
      </c>
      <c r="J132" s="4">
        <f>1629135336.81235-1629135336.74598</f>
        <v>6.6370010375976563E-2</v>
      </c>
      <c r="K132" s="3">
        <f t="shared" si="77"/>
        <v>66.370010375976563</v>
      </c>
      <c r="M132" s="4">
        <f>1629135336.81328-1629135336.74598</f>
        <v>6.7300081253051758E-2</v>
      </c>
      <c r="N132" s="3">
        <f t="shared" si="78"/>
        <v>67.300081253051758</v>
      </c>
      <c r="S132" s="4">
        <f>1629135183.35723-1629135183.28589</f>
        <v>7.1339845657348633E-2</v>
      </c>
      <c r="T132" s="3">
        <f t="shared" si="79"/>
        <v>71.339845657348633</v>
      </c>
      <c r="V132" s="4">
        <f>1629135183.35784-1629135183.28589</f>
        <v>7.1949958801269531E-2</v>
      </c>
      <c r="W132" s="3">
        <f t="shared" si="80"/>
        <v>71.949958801269531</v>
      </c>
      <c r="Y132" s="4">
        <f>1629135183.35722-1629135183.28589</f>
        <v>7.1329832077026367E-2</v>
      </c>
      <c r="Z132" s="3">
        <f t="shared" si="81"/>
        <v>71.329832077026367</v>
      </c>
      <c r="AB132" s="4">
        <f>1629135183.3582-1629135183.28589</f>
        <v>7.2309970855712891E-2</v>
      </c>
      <c r="AC132" s="3">
        <f t="shared" si="82"/>
        <v>72.309970855712891</v>
      </c>
      <c r="AE132" s="4">
        <f>1629135183.35736-1629135183.28589</f>
        <v>7.1469783782958984E-2</v>
      </c>
      <c r="AF132" s="3">
        <f t="shared" si="83"/>
        <v>71.469783782958984</v>
      </c>
    </row>
    <row r="133" spans="1:32" x14ac:dyDescent="0.3">
      <c r="A133" s="4">
        <f>1629135337.88422-1629135337.81804</f>
        <v>6.6179990768432617E-2</v>
      </c>
      <c r="B133" s="3">
        <f t="shared" si="74"/>
        <v>66.179990768432617</v>
      </c>
      <c r="D133" s="4">
        <f>1629135337.88475-1629135337.81804</f>
        <v>6.6709995269775391E-2</v>
      </c>
      <c r="E133" s="3">
        <f t="shared" si="75"/>
        <v>66.709995269775391</v>
      </c>
      <c r="G133" s="4">
        <f>1629135337.88422-1629135337.81804</f>
        <v>6.6179990768432617E-2</v>
      </c>
      <c r="H133" s="3">
        <f t="shared" si="76"/>
        <v>66.179990768432617</v>
      </c>
      <c r="J133" s="4">
        <f>1629135337.88432-1629135337.81804</f>
        <v>6.6280126571655273E-2</v>
      </c>
      <c r="K133" s="3">
        <f t="shared" si="77"/>
        <v>66.280126571655273</v>
      </c>
      <c r="M133" s="4">
        <f>1629135337.88505-1629135337.81804</f>
        <v>6.7010164260864258E-2</v>
      </c>
      <c r="N133" s="3">
        <f t="shared" si="78"/>
        <v>67.010164260864258</v>
      </c>
      <c r="S133" s="4">
        <f>1629135184.42922-1629135184.35837</f>
        <v>7.0849895477294922E-2</v>
      </c>
      <c r="T133" s="3">
        <f t="shared" si="79"/>
        <v>70.849895477294922</v>
      </c>
      <c r="V133" s="4">
        <f>1629135184.42992-1629135184.35837</f>
        <v>7.1549892425537109E-2</v>
      </c>
      <c r="W133" s="3">
        <f t="shared" si="80"/>
        <v>71.549892425537109</v>
      </c>
      <c r="Y133" s="4">
        <f>1629135184.42922-1629135184.35837</f>
        <v>7.0849895477294922E-2</v>
      </c>
      <c r="Z133" s="3">
        <f t="shared" si="81"/>
        <v>70.849895477294922</v>
      </c>
      <c r="AB133" s="4">
        <f>1629135184.43023-1629135184.35837</f>
        <v>7.1859836578369141E-2</v>
      </c>
      <c r="AC133" s="3">
        <f t="shared" si="82"/>
        <v>71.859836578369141</v>
      </c>
      <c r="AE133" s="4">
        <f>1629135184.42938-1629135184.35837</f>
        <v>7.100987434387207E-2</v>
      </c>
      <c r="AF133" s="3">
        <f t="shared" si="83"/>
        <v>71.00987434387207</v>
      </c>
    </row>
    <row r="134" spans="1:32" x14ac:dyDescent="0.3">
      <c r="A134" s="4">
        <f>1629135338.96022-1629135338.88999</f>
        <v>7.0230007171630859E-2</v>
      </c>
      <c r="B134" s="3">
        <f t="shared" si="74"/>
        <v>70.230007171630859</v>
      </c>
      <c r="D134" s="4">
        <f>1629135338.96075-1629135338.88999</f>
        <v>7.0760011672973633E-2</v>
      </c>
      <c r="E134" s="3">
        <f t="shared" si="75"/>
        <v>70.760011672973633</v>
      </c>
      <c r="G134" s="4">
        <f>1629135338.96022-1629135338.88999</f>
        <v>7.0230007171630859E-2</v>
      </c>
      <c r="H134" s="3">
        <f t="shared" si="76"/>
        <v>70.230007171630859</v>
      </c>
      <c r="J134" s="4">
        <f>1629135338.96031-1629135338.88999</f>
        <v>7.0319890975952148E-2</v>
      </c>
      <c r="K134" s="3">
        <f t="shared" si="77"/>
        <v>70.319890975952148</v>
      </c>
      <c r="M134" s="4">
        <f>1629135338.96077-1629135338.88999</f>
        <v>7.0779800415039063E-2</v>
      </c>
      <c r="N134" s="3">
        <f t="shared" si="78"/>
        <v>70.779800415039063</v>
      </c>
      <c r="S134" s="4">
        <f>1629135185.50119-1629135185.43034</f>
        <v>7.0849895477294922E-2</v>
      </c>
      <c r="T134" s="3">
        <f t="shared" si="79"/>
        <v>70.849895477294922</v>
      </c>
      <c r="V134" s="4">
        <f>1629135185.50179-1629135185.43034</f>
        <v>7.1449995040893555E-2</v>
      </c>
      <c r="W134" s="3">
        <f t="shared" si="80"/>
        <v>71.449995040893555</v>
      </c>
      <c r="Y134" s="4">
        <f>1629135185.50119-1629135185.43034</f>
        <v>7.0849895477294922E-2</v>
      </c>
      <c r="Z134" s="3">
        <f t="shared" si="81"/>
        <v>70.849895477294922</v>
      </c>
      <c r="AB134" s="4">
        <f>1629135185.50209-1629135185.43034</f>
        <v>7.174992561340332E-2</v>
      </c>
      <c r="AC134" s="3">
        <f t="shared" si="82"/>
        <v>71.74992561340332</v>
      </c>
      <c r="AE134" s="4">
        <f>1629135185.50134-1629135185.43034</f>
        <v>7.0999860763549805E-2</v>
      </c>
      <c r="AF134" s="3">
        <f t="shared" si="83"/>
        <v>70.999860763549805</v>
      </c>
    </row>
    <row r="135" spans="1:32" x14ac:dyDescent="0.3">
      <c r="A135" s="4">
        <f>1629135340.02823-1629135339.9655</f>
        <v>6.2729835510253906E-2</v>
      </c>
      <c r="B135" s="3">
        <f t="shared" si="74"/>
        <v>62.729835510253906</v>
      </c>
      <c r="D135" s="4">
        <f>1629135340.03295-1629135339.9655</f>
        <v>6.7449808120727539E-2</v>
      </c>
      <c r="E135" s="3">
        <f t="shared" si="75"/>
        <v>67.449808120727539</v>
      </c>
      <c r="G135" s="4">
        <f>1629135340.02829-1629135339.9655</f>
        <v>6.27899169921875E-2</v>
      </c>
      <c r="H135" s="3">
        <f t="shared" si="76"/>
        <v>62.7899169921875</v>
      </c>
      <c r="J135" s="4">
        <f>1629135340.0282-1629135339.9655</f>
        <v>6.2699794769287109E-2</v>
      </c>
      <c r="K135" s="3">
        <f t="shared" si="77"/>
        <v>62.699794769287109</v>
      </c>
      <c r="M135" s="4">
        <f>1629135340.03288-1629135339.9655</f>
        <v>6.7379951477050781E-2</v>
      </c>
      <c r="N135" s="3">
        <f t="shared" si="78"/>
        <v>67.379951477050781</v>
      </c>
      <c r="S135" s="4">
        <f>1629135186.57306-1629135186.50223</f>
        <v>7.0830106735229492E-2</v>
      </c>
      <c r="T135" s="3">
        <f t="shared" si="79"/>
        <v>70.830106735229492</v>
      </c>
      <c r="V135" s="4">
        <f>1629135186.5782-1629135186.50223</f>
        <v>7.5970172882080078E-2</v>
      </c>
      <c r="W135" s="3">
        <f t="shared" si="80"/>
        <v>75.970172882080078</v>
      </c>
      <c r="Y135" s="4">
        <f>1629135186.57306-1629135186.50223</f>
        <v>7.0830106735229492E-2</v>
      </c>
      <c r="Z135" s="3">
        <f t="shared" si="81"/>
        <v>70.830106735229492</v>
      </c>
      <c r="AB135" s="4">
        <f>1629135186.57426-1629135186.50223</f>
        <v>7.2030067443847656E-2</v>
      </c>
      <c r="AC135" s="3">
        <f t="shared" si="82"/>
        <v>72.030067443847656</v>
      </c>
      <c r="AE135" s="4">
        <f>1629135186.57322-1629135186.50223</f>
        <v>7.0990085601806641E-2</v>
      </c>
      <c r="AF135" s="3">
        <f t="shared" si="83"/>
        <v>70.990085601806641</v>
      </c>
    </row>
    <row r="136" spans="1:32" x14ac:dyDescent="0.3">
      <c r="B136" s="2">
        <f>AVERAGE(B126:B135)</f>
        <v>66.590023040771484</v>
      </c>
      <c r="E136" s="2">
        <f>AVERAGE(E126:E135)</f>
        <v>67.473006248474121</v>
      </c>
      <c r="H136" s="2">
        <f>AVERAGE(H126:H135)</f>
        <v>66.554021835327148</v>
      </c>
      <c r="K136" s="2">
        <f>AVERAGE(K126:K135)</f>
        <v>66.511011123657227</v>
      </c>
      <c r="N136" s="2">
        <f>AVERAGE(N126:N135)</f>
        <v>67.200040817260742</v>
      </c>
      <c r="T136" s="2">
        <f>AVERAGE(T126:T135)</f>
        <v>71.187996864318848</v>
      </c>
      <c r="W136" s="2">
        <f>AVERAGE(W126:W135)</f>
        <v>72.280001640319824</v>
      </c>
      <c r="Z136" s="2">
        <f>AVERAGE(Z126:Z135)</f>
        <v>71.174979209899902</v>
      </c>
      <c r="AC136" s="2">
        <f>AVERAGE(AC126:AC135)</f>
        <v>72.074985504150391</v>
      </c>
      <c r="AF136" s="2">
        <f>AVERAGE(AF126:AF135)</f>
        <v>71.340012550354004</v>
      </c>
    </row>
    <row r="138" spans="1:32" x14ac:dyDescent="0.3">
      <c r="A138" s="6" t="s">
        <v>37</v>
      </c>
      <c r="B138" s="6"/>
      <c r="D138" s="6" t="s">
        <v>38</v>
      </c>
      <c r="E138" s="6"/>
      <c r="G138" s="6" t="s">
        <v>39</v>
      </c>
      <c r="H138" s="6"/>
      <c r="J138" s="6" t="s">
        <v>40</v>
      </c>
      <c r="K138" s="6"/>
      <c r="M138" s="6" t="s">
        <v>41</v>
      </c>
      <c r="N138" s="6"/>
      <c r="S138" s="6" t="s">
        <v>37</v>
      </c>
      <c r="T138" s="6"/>
      <c r="V138" s="6" t="s">
        <v>38</v>
      </c>
      <c r="W138" s="6"/>
      <c r="Y138" s="6" t="s">
        <v>39</v>
      </c>
      <c r="Z138" s="6"/>
      <c r="AB138" s="6" t="s">
        <v>40</v>
      </c>
      <c r="AC138" s="6"/>
      <c r="AE138" s="6" t="s">
        <v>41</v>
      </c>
      <c r="AF138" s="6"/>
    </row>
    <row r="139" spans="1:32" ht="45" customHeight="1" x14ac:dyDescent="0.3">
      <c r="A139" s="8" t="s">
        <v>62</v>
      </c>
      <c r="B139" s="8"/>
      <c r="D139" s="8" t="s">
        <v>62</v>
      </c>
      <c r="E139" s="8"/>
      <c r="G139" s="8" t="s">
        <v>62</v>
      </c>
      <c r="H139" s="8"/>
      <c r="J139" s="8" t="s">
        <v>62</v>
      </c>
      <c r="K139" s="8"/>
      <c r="M139" s="8" t="s">
        <v>62</v>
      </c>
      <c r="N139" s="8"/>
      <c r="S139" s="8" t="s">
        <v>63</v>
      </c>
      <c r="T139" s="8"/>
      <c r="V139" s="8" t="s">
        <v>63</v>
      </c>
      <c r="W139" s="8"/>
      <c r="Y139" s="8" t="s">
        <v>63</v>
      </c>
      <c r="Z139" s="8"/>
      <c r="AB139" s="8" t="s">
        <v>63</v>
      </c>
      <c r="AC139" s="8"/>
      <c r="AE139" s="8" t="s">
        <v>63</v>
      </c>
      <c r="AF139" s="8"/>
    </row>
    <row r="140" spans="1:32" x14ac:dyDescent="0.3">
      <c r="A140" s="1" t="s">
        <v>1</v>
      </c>
      <c r="B140" s="1" t="s">
        <v>0</v>
      </c>
      <c r="D140" s="1" t="s">
        <v>1</v>
      </c>
      <c r="E140" s="1" t="s">
        <v>0</v>
      </c>
      <c r="G140" s="1" t="s">
        <v>1</v>
      </c>
      <c r="H140" s="1" t="s">
        <v>0</v>
      </c>
      <c r="J140" s="1" t="s">
        <v>1</v>
      </c>
      <c r="K140" s="1" t="s">
        <v>0</v>
      </c>
      <c r="M140" s="1" t="s">
        <v>1</v>
      </c>
      <c r="N140" s="1" t="s">
        <v>0</v>
      </c>
      <c r="S140" s="1" t="s">
        <v>1</v>
      </c>
      <c r="T140" s="1" t="s">
        <v>0</v>
      </c>
      <c r="V140" s="1" t="s">
        <v>1</v>
      </c>
      <c r="W140" s="1" t="s">
        <v>0</v>
      </c>
      <c r="Y140" s="1" t="s">
        <v>1</v>
      </c>
      <c r="Z140" s="1" t="s">
        <v>0</v>
      </c>
      <c r="AB140" s="1" t="s">
        <v>1</v>
      </c>
      <c r="AC140" s="1" t="s">
        <v>0</v>
      </c>
      <c r="AE140" s="1" t="s">
        <v>1</v>
      </c>
      <c r="AF140" s="1" t="s">
        <v>0</v>
      </c>
    </row>
    <row r="141" spans="1:32" x14ac:dyDescent="0.3">
      <c r="A141" s="4">
        <f>1629135330.38088-1629135330.31371</f>
        <v>6.7170143127441406E-2</v>
      </c>
      <c r="B141" s="3">
        <f>A141*1000</f>
        <v>67.170143127441406</v>
      </c>
      <c r="D141" s="4">
        <f>1629135330.38158-1629135330.31371</f>
        <v>6.7870140075683594E-2</v>
      </c>
      <c r="E141" s="3">
        <f>D141*1000</f>
        <v>67.870140075683594</v>
      </c>
      <c r="G141" s="4">
        <f>1629135330.38059-1629135330.31371</f>
        <v>6.6879987716674805E-2</v>
      </c>
      <c r="H141" s="3">
        <f>G141*1000</f>
        <v>66.879987716674805</v>
      </c>
      <c r="J141" s="4">
        <f>1629135330.38059-1629135330.31371</f>
        <v>6.6879987716674805E-2</v>
      </c>
      <c r="K141" s="3">
        <f>J141*1000</f>
        <v>66.879987716674805</v>
      </c>
      <c r="M141" s="4">
        <f>1629135330.38066-1629135330.31371</f>
        <v>6.6950082778930664E-2</v>
      </c>
      <c r="N141" s="3">
        <f>M141*1000</f>
        <v>66.950082778930664</v>
      </c>
      <c r="S141" s="4">
        <f>1629135176.92633-1629135176.85131</f>
        <v>7.5020074844360352E-2</v>
      </c>
      <c r="T141" s="3">
        <f>S141*1000</f>
        <v>75.020074844360352</v>
      </c>
      <c r="V141" s="4">
        <f>1629135176.92679-1629135176.85131</f>
        <v>7.5479984283447266E-2</v>
      </c>
      <c r="W141" s="3">
        <f>V141*1000</f>
        <v>75.479984283447266</v>
      </c>
      <c r="Y141" s="4">
        <f>1629135176.92586-1629135176.85131</f>
        <v>7.454991340637207E-2</v>
      </c>
      <c r="Z141" s="3">
        <f>Y141*1000</f>
        <v>74.54991340637207</v>
      </c>
      <c r="AB141" s="4">
        <f>1629135176.92578-1629135176.85131</f>
        <v>7.4470043182373047E-2</v>
      </c>
      <c r="AC141" s="3">
        <f>AB141*1000</f>
        <v>74.470043182373047</v>
      </c>
      <c r="AE141" s="4">
        <f>1629135176.92583-1629135176.85131</f>
        <v>7.4519872665405273E-2</v>
      </c>
      <c r="AF141" s="3">
        <f>AE141*1000</f>
        <v>74.519872665405273</v>
      </c>
    </row>
    <row r="142" spans="1:32" x14ac:dyDescent="0.3">
      <c r="A142" s="4">
        <f>1629135331.45301-1629135331.3861</f>
        <v>6.6910028457641602E-2</v>
      </c>
      <c r="B142" s="3">
        <f t="shared" ref="B142:B150" si="84">A142*1000</f>
        <v>66.910028457641602</v>
      </c>
      <c r="D142" s="4">
        <f>1629135331.45365-1629135331.3861</f>
        <v>6.7549943923950195E-2</v>
      </c>
      <c r="E142" s="3">
        <f t="shared" ref="E142:E150" si="85">D142*1000</f>
        <v>67.549943923950195</v>
      </c>
      <c r="G142" s="4">
        <f>1629135331.45247-1629135331.3861</f>
        <v>6.6370010375976563E-2</v>
      </c>
      <c r="H142" s="3">
        <f t="shared" ref="H142:H150" si="86">G142*1000</f>
        <v>66.370010375976563</v>
      </c>
      <c r="J142" s="4">
        <f>1629135331.45247-1629135331.3861</f>
        <v>6.6370010375976563E-2</v>
      </c>
      <c r="K142" s="3">
        <f t="shared" ref="K142:K150" si="87">J142*1000</f>
        <v>66.370010375976563</v>
      </c>
      <c r="M142" s="4">
        <f>1629135331.45254-1629135331.3861</f>
        <v>6.643986701965332E-2</v>
      </c>
      <c r="N142" s="3">
        <f t="shared" ref="N142:N150" si="88">M142*1000</f>
        <v>66.43986701965332</v>
      </c>
      <c r="S142" s="4">
        <f>1629135177.99816-1629135177.92672</f>
        <v>7.1439981460571289E-2</v>
      </c>
      <c r="T142" s="3">
        <f t="shared" ref="T142:T150" si="89">S142*1000</f>
        <v>71.439981460571289</v>
      </c>
      <c r="V142" s="4">
        <f>1629135177.99749-1629135177.92672</f>
        <v>7.0770025253295898E-2</v>
      </c>
      <c r="W142" s="3">
        <f t="shared" ref="W142:W150" si="90">V142*1000</f>
        <v>70.770025253295898</v>
      </c>
      <c r="Y142" s="4">
        <f>1629135177.99804-1629135177.92672</f>
        <v>7.1320056915283203E-2</v>
      </c>
      <c r="Z142" s="3">
        <f t="shared" ref="Z142:Z150" si="91">Y142*1000</f>
        <v>71.320056915283203</v>
      </c>
      <c r="AB142" s="4">
        <f>1629135177.99752-1629135177.92672</f>
        <v>7.0800065994262695E-2</v>
      </c>
      <c r="AC142" s="3">
        <f t="shared" ref="AC142:AC150" si="92">AB142*1000</f>
        <v>70.800065994262695</v>
      </c>
      <c r="AE142" s="4">
        <f>1629135177.99742-1629135177.92672</f>
        <v>7.0700168609619141E-2</v>
      </c>
      <c r="AF142" s="3">
        <f t="shared" ref="AF142:AF150" si="93">AE142*1000</f>
        <v>70.700168609619141</v>
      </c>
    </row>
    <row r="143" spans="1:32" x14ac:dyDescent="0.3">
      <c r="A143" s="4">
        <f>1629135332.5249-1629135332.45751</f>
        <v>6.7389965057373047E-2</v>
      </c>
      <c r="B143" s="3">
        <f t="shared" si="84"/>
        <v>67.389965057373047</v>
      </c>
      <c r="D143" s="4">
        <f>1629135332.52558-1629135332.45751</f>
        <v>6.8069934844970703E-2</v>
      </c>
      <c r="E143" s="3">
        <f t="shared" si="85"/>
        <v>68.069934844970703</v>
      </c>
      <c r="G143" s="4">
        <f>1629135332.5244-1629135332.45751</f>
        <v>6.689000129699707E-2</v>
      </c>
      <c r="H143" s="3">
        <f t="shared" si="86"/>
        <v>66.89000129699707</v>
      </c>
      <c r="J143" s="4">
        <f>1629135332.52442-1629135332.45751</f>
        <v>6.6910028457641602E-2</v>
      </c>
      <c r="K143" s="3">
        <f t="shared" si="87"/>
        <v>66.910028457641602</v>
      </c>
      <c r="M143" s="4">
        <f>1629135332.52448-1629135332.45751</f>
        <v>6.6970109939575195E-2</v>
      </c>
      <c r="N143" s="3">
        <f t="shared" si="88"/>
        <v>66.970109939575195</v>
      </c>
      <c r="S143" s="4">
        <f>1629135179.07028-1629135178.99826</f>
        <v>7.2020053863525391E-2</v>
      </c>
      <c r="T143" s="3">
        <f t="shared" si="89"/>
        <v>72.020053863525391</v>
      </c>
      <c r="V143" s="4">
        <f>1629135179.06947-1629135178.99826</f>
        <v>7.1209907531738281E-2</v>
      </c>
      <c r="W143" s="3">
        <f t="shared" si="90"/>
        <v>71.209907531738281</v>
      </c>
      <c r="Y143" s="4">
        <f>1629135179.07023-1629135178.99826</f>
        <v>7.1969985961914063E-2</v>
      </c>
      <c r="Z143" s="3">
        <f t="shared" si="91"/>
        <v>71.969985961914063</v>
      </c>
      <c r="AB143" s="4">
        <f>1629135179.06948-1629135178.99826</f>
        <v>7.1219921112060547E-2</v>
      </c>
      <c r="AC143" s="3">
        <f t="shared" si="92"/>
        <v>71.219921112060547</v>
      </c>
      <c r="AE143" s="4">
        <f>1629135179.06955-1629135178.99826</f>
        <v>7.1290016174316406E-2</v>
      </c>
      <c r="AF143" s="3">
        <f t="shared" si="93"/>
        <v>71.290016174316406</v>
      </c>
    </row>
    <row r="144" spans="1:32" x14ac:dyDescent="0.3">
      <c r="A144" s="4">
        <f>1629135333.59642-1629135333.5298</f>
        <v>6.6620111465454102E-2</v>
      </c>
      <c r="B144" s="3">
        <f t="shared" si="84"/>
        <v>66.620111465454102</v>
      </c>
      <c r="D144" s="4">
        <f>1629135333.59727-1629135333.5298</f>
        <v>6.7470073699951172E-2</v>
      </c>
      <c r="E144" s="3">
        <f t="shared" si="85"/>
        <v>67.470073699951172</v>
      </c>
      <c r="G144" s="4">
        <f>1629135333.59642-1629135333.5298</f>
        <v>6.6620111465454102E-2</v>
      </c>
      <c r="H144" s="3">
        <f t="shared" si="86"/>
        <v>66.620111465454102</v>
      </c>
      <c r="J144" s="4">
        <f>1629135333.59654-1629135333.5298</f>
        <v>6.6740036010742188E-2</v>
      </c>
      <c r="K144" s="3">
        <f t="shared" si="87"/>
        <v>66.740036010742188</v>
      </c>
      <c r="M144" s="4">
        <f>1629135333.59642-1629135333.5298</f>
        <v>6.6620111465454102E-2</v>
      </c>
      <c r="N144" s="3">
        <f t="shared" si="88"/>
        <v>66.620111465454102</v>
      </c>
      <c r="S144" s="4">
        <f>1629135180.14225-1629135180.07056</f>
        <v>7.1690082550048828E-2</v>
      </c>
      <c r="T144" s="3">
        <f t="shared" si="89"/>
        <v>71.690082550048828</v>
      </c>
      <c r="V144" s="4">
        <f>1629135180.14173-1629135180.07056</f>
        <v>7.117009162902832E-2</v>
      </c>
      <c r="W144" s="3">
        <f t="shared" si="90"/>
        <v>71.17009162902832</v>
      </c>
      <c r="Y144" s="4">
        <f>1629135180.14233-1629135180.07056</f>
        <v>7.1769952774047852E-2</v>
      </c>
      <c r="Z144" s="3">
        <f t="shared" si="91"/>
        <v>71.769952774047852</v>
      </c>
      <c r="AB144" s="4">
        <f>1629135180.14165-1629135180.07056</f>
        <v>7.1089982986450195E-2</v>
      </c>
      <c r="AC144" s="3">
        <f t="shared" si="92"/>
        <v>71.089982986450195</v>
      </c>
      <c r="AE144" s="4">
        <f>1629135180.14165-1629135180.07056</f>
        <v>7.1089982986450195E-2</v>
      </c>
      <c r="AF144" s="3">
        <f t="shared" si="93"/>
        <v>71.089982986450195</v>
      </c>
    </row>
    <row r="145" spans="1:32" x14ac:dyDescent="0.3">
      <c r="A145" s="4">
        <f>1629135334.66854-1629135334.60144</f>
        <v>6.7100048065185547E-2</v>
      </c>
      <c r="B145" s="3">
        <f t="shared" si="84"/>
        <v>67.100048065185547</v>
      </c>
      <c r="D145" s="4">
        <f>1629135334.66931-1629135334.60144</f>
        <v>6.7870140075683594E-2</v>
      </c>
      <c r="E145" s="3">
        <f t="shared" si="85"/>
        <v>67.870140075683594</v>
      </c>
      <c r="G145" s="4">
        <f>1629135334.66837-1629135334.60144</f>
        <v>6.6930055618286133E-2</v>
      </c>
      <c r="H145" s="3">
        <f t="shared" si="86"/>
        <v>66.930055618286133</v>
      </c>
      <c r="J145" s="4">
        <f>1629135334.66837-1629135334.60144</f>
        <v>6.6930055618286133E-2</v>
      </c>
      <c r="K145" s="3">
        <f t="shared" si="87"/>
        <v>66.930055618286133</v>
      </c>
      <c r="M145" s="4">
        <f>1629135334.66837-1629135334.60144</f>
        <v>6.6930055618286133E-2</v>
      </c>
      <c r="N145" s="3">
        <f t="shared" si="88"/>
        <v>66.930055618286133</v>
      </c>
      <c r="S145" s="4">
        <f>1629135181.21397-1629135181.14242</f>
        <v>7.1549892425537109E-2</v>
      </c>
      <c r="T145" s="3">
        <f t="shared" si="89"/>
        <v>71.549892425537109</v>
      </c>
      <c r="V145" s="4">
        <f>1629135181.21335-1629135181.14242</f>
        <v>7.0930004119873047E-2</v>
      </c>
      <c r="W145" s="3">
        <f t="shared" si="90"/>
        <v>70.930004119873047</v>
      </c>
      <c r="Y145" s="4">
        <f>1629135181.21409-1629135181.14242</f>
        <v>7.1670055389404297E-2</v>
      </c>
      <c r="Z145" s="3">
        <f t="shared" si="91"/>
        <v>71.670055389404297</v>
      </c>
      <c r="AB145" s="4">
        <f>1629135181.21336-1629135181.14242</f>
        <v>7.0940017700195313E-2</v>
      </c>
      <c r="AC145" s="3">
        <f t="shared" si="92"/>
        <v>70.940017700195313</v>
      </c>
      <c r="AE145" s="4">
        <f>1629135181.21343-1629135181.14242</f>
        <v>7.100987434387207E-2</v>
      </c>
      <c r="AF145" s="3">
        <f t="shared" si="93"/>
        <v>71.00987434387207</v>
      </c>
    </row>
    <row r="146" spans="1:32" x14ac:dyDescent="0.3">
      <c r="A146" s="4">
        <f>1629135335.74039-1629135335.67394</f>
        <v>6.6450119018554688E-2</v>
      </c>
      <c r="B146" s="3">
        <f t="shared" si="84"/>
        <v>66.450119018554688</v>
      </c>
      <c r="D146" s="4">
        <f>1629135335.74158-1629135335.67394</f>
        <v>6.7640066146850586E-2</v>
      </c>
      <c r="E146" s="3">
        <f t="shared" si="85"/>
        <v>67.640066146850586</v>
      </c>
      <c r="G146" s="4">
        <f>1629135335.74039-1629135335.67394</f>
        <v>6.6450119018554688E-2</v>
      </c>
      <c r="H146" s="3">
        <f t="shared" si="86"/>
        <v>66.450119018554688</v>
      </c>
      <c r="J146" s="4">
        <f>1629135335.74039-1629135335.67394</f>
        <v>6.6450119018554688E-2</v>
      </c>
      <c r="K146" s="3">
        <f t="shared" si="87"/>
        <v>66.450119018554688</v>
      </c>
      <c r="M146" s="4">
        <f>1629135335.7405-1629135335.67394</f>
        <v>6.6560029983520508E-2</v>
      </c>
      <c r="N146" s="3">
        <f t="shared" si="88"/>
        <v>66.560029983520508</v>
      </c>
      <c r="S146" s="4">
        <f>1629135182.28663-1629135182.21446</f>
        <v>7.2170019149780273E-2</v>
      </c>
      <c r="T146" s="3">
        <f t="shared" si="89"/>
        <v>72.170019149780273</v>
      </c>
      <c r="V146" s="4">
        <f>1629135182.28543-1629135182.21446</f>
        <v>7.0970058441162109E-2</v>
      </c>
      <c r="W146" s="3">
        <f t="shared" si="90"/>
        <v>70.970058441162109</v>
      </c>
      <c r="Y146" s="4">
        <f>1629135182.28622-1629135182.21446</f>
        <v>7.1760177612304688E-2</v>
      </c>
      <c r="Z146" s="3">
        <f t="shared" si="91"/>
        <v>71.760177612304688</v>
      </c>
      <c r="AB146" s="4">
        <f>1629135182.28544-1629135182.21446</f>
        <v>7.0980072021484375E-2</v>
      </c>
      <c r="AC146" s="3">
        <f t="shared" si="92"/>
        <v>70.980072021484375</v>
      </c>
      <c r="AE146" s="4">
        <f>1629135182.28551-1629135182.21446</f>
        <v>7.1050167083740234E-2</v>
      </c>
      <c r="AF146" s="3">
        <f t="shared" si="93"/>
        <v>71.050167083740234</v>
      </c>
    </row>
    <row r="147" spans="1:32" x14ac:dyDescent="0.3">
      <c r="A147" s="4">
        <f>1629135336.81252-1629135336.74598</f>
        <v>6.6540002822875977E-2</v>
      </c>
      <c r="B147" s="3">
        <f t="shared" si="84"/>
        <v>66.540002822875977</v>
      </c>
      <c r="D147" s="4">
        <f>1629135336.81349-1629135336.74598</f>
        <v>6.7509889602661133E-2</v>
      </c>
      <c r="E147" s="3">
        <f t="shared" si="85"/>
        <v>67.509889602661133</v>
      </c>
      <c r="G147" s="4">
        <f>1629135336.81252-1629135336.74598</f>
        <v>6.6540002822875977E-2</v>
      </c>
      <c r="H147" s="3">
        <f t="shared" si="86"/>
        <v>66.540002822875977</v>
      </c>
      <c r="J147" s="4">
        <f>1629135336.81264-1629135336.74598</f>
        <v>6.6659927368164063E-2</v>
      </c>
      <c r="K147" s="3">
        <f t="shared" si="87"/>
        <v>66.659927368164063</v>
      </c>
      <c r="M147" s="4">
        <f>1629135336.81252-1629135336.74598</f>
        <v>6.6540002822875977E-2</v>
      </c>
      <c r="N147" s="3">
        <f t="shared" si="88"/>
        <v>66.540002822875977</v>
      </c>
      <c r="S147" s="4">
        <f>1629135183.35739-1629135183.28589</f>
        <v>7.1499824523925781E-2</v>
      </c>
      <c r="T147" s="3">
        <f t="shared" si="89"/>
        <v>71.499824523925781</v>
      </c>
      <c r="V147" s="4">
        <f>1629135183.35813-1629135183.28589</f>
        <v>7.2239875793457031E-2</v>
      </c>
      <c r="W147" s="3">
        <f t="shared" si="90"/>
        <v>72.239875793457031</v>
      </c>
      <c r="Y147" s="4">
        <f>1629135183.35811-1629135183.28589</f>
        <v>7.22198486328125E-2</v>
      </c>
      <c r="Z147" s="3">
        <f t="shared" si="91"/>
        <v>72.2198486328125</v>
      </c>
      <c r="AB147" s="4">
        <f>1629135183.35747-1629135183.28589</f>
        <v>7.1579933166503906E-2</v>
      </c>
      <c r="AC147" s="3">
        <f t="shared" si="92"/>
        <v>71.579933166503906</v>
      </c>
      <c r="AE147" s="4">
        <f>1629135183.35745-1629135183.28589</f>
        <v>7.1559906005859375E-2</v>
      </c>
      <c r="AF147" s="3">
        <f t="shared" si="93"/>
        <v>71.559906005859375</v>
      </c>
    </row>
    <row r="148" spans="1:32" x14ac:dyDescent="0.3">
      <c r="A148" s="4">
        <f>1629135337.88438-1629135337.81804</f>
        <v>6.6340208053588867E-2</v>
      </c>
      <c r="B148" s="3">
        <f t="shared" si="84"/>
        <v>66.340208053588867</v>
      </c>
      <c r="D148" s="4">
        <f>1629135337.88528-1629135337.81804</f>
        <v>6.7239999771118164E-2</v>
      </c>
      <c r="E148" s="3">
        <f t="shared" si="85"/>
        <v>67.239999771118164</v>
      </c>
      <c r="G148" s="4">
        <f>1629135337.88438-1629135337.81804</f>
        <v>6.6340208053588867E-2</v>
      </c>
      <c r="H148" s="3">
        <f t="shared" si="86"/>
        <v>66.340208053588867</v>
      </c>
      <c r="J148" s="4">
        <f>1629135337.88449-1629135337.81804</f>
        <v>6.6450119018554688E-2</v>
      </c>
      <c r="K148" s="3">
        <f t="shared" si="87"/>
        <v>66.450119018554688</v>
      </c>
      <c r="M148" s="4">
        <f>1629135337.88438-1629135337.81804</f>
        <v>6.6340208053588867E-2</v>
      </c>
      <c r="N148" s="3">
        <f t="shared" si="88"/>
        <v>66.340208053588867</v>
      </c>
      <c r="S148" s="4">
        <f>1629135184.42939-1629135184.35837</f>
        <v>7.1019887924194336E-2</v>
      </c>
      <c r="T148" s="3">
        <f t="shared" si="89"/>
        <v>71.019887924194336</v>
      </c>
      <c r="V148" s="4">
        <f>1629135184.42933-1629135184.35837</f>
        <v>7.0960044860839844E-2</v>
      </c>
      <c r="W148" s="3">
        <f t="shared" si="90"/>
        <v>70.960044860839844</v>
      </c>
      <c r="Y148" s="4">
        <f>1629135184.43004-1629135184.35837</f>
        <v>7.1669816970825195E-2</v>
      </c>
      <c r="Z148" s="3">
        <f t="shared" si="91"/>
        <v>71.669816970825195</v>
      </c>
      <c r="AB148" s="4">
        <f>1629135184.42945-1629135184.35837</f>
        <v>7.107996940612793E-2</v>
      </c>
      <c r="AC148" s="3">
        <f t="shared" si="92"/>
        <v>71.07996940612793</v>
      </c>
      <c r="AE148" s="4">
        <f>1629135184.4301-1629135184.35837</f>
        <v>7.1729898452758789E-2</v>
      </c>
      <c r="AF148" s="3">
        <f t="shared" si="93"/>
        <v>71.729898452758789</v>
      </c>
    </row>
    <row r="149" spans="1:32" x14ac:dyDescent="0.3">
      <c r="A149" s="4">
        <f>1629135338.96126-1629135338.88999</f>
        <v>7.1269989013671875E-2</v>
      </c>
      <c r="B149" s="3">
        <f t="shared" si="84"/>
        <v>71.269989013671875</v>
      </c>
      <c r="D149" s="4">
        <f>1629135338.96036-1629135338.88999</f>
        <v>7.0369958877563477E-2</v>
      </c>
      <c r="E149" s="3">
        <f t="shared" si="85"/>
        <v>70.369958877563477</v>
      </c>
      <c r="G149" s="4">
        <f>1629135338.96036-1629135338.88999</f>
        <v>7.0369958877563477E-2</v>
      </c>
      <c r="H149" s="3">
        <f t="shared" si="86"/>
        <v>70.369958877563477</v>
      </c>
      <c r="J149" s="4">
        <f>1629135338.96036-1629135338.88999</f>
        <v>7.0369958877563477E-2</v>
      </c>
      <c r="K149" s="3">
        <f t="shared" si="87"/>
        <v>70.369958877563477</v>
      </c>
      <c r="M149" s="4">
        <f>1629135338.96047-1629135338.88999</f>
        <v>7.0479869842529297E-2</v>
      </c>
      <c r="N149" s="3">
        <f t="shared" si="88"/>
        <v>70.479869842529297</v>
      </c>
      <c r="S149" s="4">
        <f>1629135185.50132-1629135185.43034</f>
        <v>7.0979833602905273E-2</v>
      </c>
      <c r="T149" s="3">
        <f t="shared" si="89"/>
        <v>70.979833602905273</v>
      </c>
      <c r="V149" s="4">
        <f>1629135185.50138-1629135185.43034</f>
        <v>7.1039915084838867E-2</v>
      </c>
      <c r="W149" s="3">
        <f t="shared" si="90"/>
        <v>71.039915084838867</v>
      </c>
      <c r="Y149" s="4">
        <f>1629135185.50196-1629135185.43034</f>
        <v>7.1619987487792969E-2</v>
      </c>
      <c r="Z149" s="3">
        <f t="shared" si="91"/>
        <v>71.619987487792969</v>
      </c>
      <c r="AB149" s="4">
        <f>1629135185.50141-1629135185.43034</f>
        <v>7.1069955825805664E-2</v>
      </c>
      <c r="AC149" s="3">
        <f t="shared" si="92"/>
        <v>71.069955825805664</v>
      </c>
      <c r="AE149" s="4">
        <f>1629135185.50202-1629135185.43034</f>
        <v>7.1679830551147461E-2</v>
      </c>
      <c r="AF149" s="3">
        <f t="shared" si="93"/>
        <v>71.679830551147461</v>
      </c>
    </row>
    <row r="150" spans="1:32" x14ac:dyDescent="0.3">
      <c r="A150" s="4">
        <f>1629135340.03055-1629135339.9655</f>
        <v>6.5049886703491211E-2</v>
      </c>
      <c r="B150" s="3">
        <f t="shared" si="84"/>
        <v>65.049886703491211</v>
      </c>
      <c r="D150" s="4">
        <f>1629135340.02829-1629135339.9655</f>
        <v>6.27899169921875E-2</v>
      </c>
      <c r="E150" s="3">
        <f t="shared" si="85"/>
        <v>62.7899169921875</v>
      </c>
      <c r="G150" s="4">
        <f>1629135340.0284-1629135339.9655</f>
        <v>6.289982795715332E-2</v>
      </c>
      <c r="H150" s="3">
        <f t="shared" si="86"/>
        <v>62.89982795715332</v>
      </c>
      <c r="J150" s="4">
        <f>1629135340.02829-1629135339.9655</f>
        <v>6.27899169921875E-2</v>
      </c>
      <c r="K150" s="3">
        <f t="shared" si="87"/>
        <v>62.7899169921875</v>
      </c>
      <c r="M150" s="4">
        <f>1629135340.02829-1629135339.9655</f>
        <v>6.27899169921875E-2</v>
      </c>
      <c r="N150" s="3">
        <f t="shared" si="88"/>
        <v>62.7899169921875</v>
      </c>
      <c r="S150" s="4">
        <f>1629135186.57327-1629135186.50223</f>
        <v>7.1040153503417969E-2</v>
      </c>
      <c r="T150" s="3">
        <f t="shared" si="89"/>
        <v>71.040153503417969</v>
      </c>
      <c r="V150" s="4">
        <f>1629135186.5732-1629135186.50223</f>
        <v>7.0970058441162109E-2</v>
      </c>
      <c r="W150" s="3">
        <f t="shared" si="90"/>
        <v>70.970058441162109</v>
      </c>
      <c r="Y150" s="4">
        <f>1629135186.57705-1629135186.50223</f>
        <v>7.4820041656494141E-2</v>
      </c>
      <c r="Z150" s="3">
        <f t="shared" si="91"/>
        <v>74.820041656494141</v>
      </c>
      <c r="AB150" s="4">
        <f>1629135186.57332-1629135186.50223</f>
        <v>7.1089982986450195E-2</v>
      </c>
      <c r="AC150" s="3">
        <f t="shared" si="92"/>
        <v>71.089982986450195</v>
      </c>
      <c r="AE150" s="4">
        <f>1629135186.57877-1629135186.50223</f>
        <v>7.6539993286132813E-2</v>
      </c>
      <c r="AF150" s="3">
        <f t="shared" si="93"/>
        <v>76.539993286132813</v>
      </c>
    </row>
    <row r="151" spans="1:32" x14ac:dyDescent="0.3">
      <c r="B151" s="2">
        <f>AVERAGE(B141:B150)</f>
        <v>67.084050178527832</v>
      </c>
      <c r="E151" s="2">
        <f>AVERAGE(E141:E150)</f>
        <v>67.438006401062012</v>
      </c>
      <c r="H151" s="2">
        <f>AVERAGE(H141:H150)</f>
        <v>66.6290283203125</v>
      </c>
      <c r="K151" s="2">
        <f>AVERAGE(K141:K150)</f>
        <v>66.65501594543457</v>
      </c>
      <c r="N151" s="2">
        <f>AVERAGE(N141:N150)</f>
        <v>66.662025451660156</v>
      </c>
      <c r="T151" s="2">
        <f>AVERAGE(T141:T150)</f>
        <v>71.84298038482666</v>
      </c>
      <c r="W151" s="2">
        <f>AVERAGE(W141:W150)</f>
        <v>71.573996543884277</v>
      </c>
      <c r="Z151" s="2">
        <f>AVERAGE(Z141:Z150)</f>
        <v>72.336983680725098</v>
      </c>
      <c r="AC151" s="2">
        <f>AVERAGE(AC141:AC150)</f>
        <v>71.431994438171387</v>
      </c>
      <c r="AF151" s="2">
        <f>AVERAGE(AF141:AF150)</f>
        <v>72.116971015930176</v>
      </c>
    </row>
    <row r="153" spans="1:32" x14ac:dyDescent="0.3">
      <c r="A153" s="6" t="s">
        <v>32</v>
      </c>
      <c r="B153" s="6"/>
      <c r="D153" s="6" t="s">
        <v>33</v>
      </c>
      <c r="E153" s="6"/>
      <c r="G153" s="6" t="s">
        <v>34</v>
      </c>
      <c r="H153" s="6"/>
      <c r="J153" s="6" t="s">
        <v>35</v>
      </c>
      <c r="K153" s="6"/>
      <c r="M153" s="6" t="s">
        <v>36</v>
      </c>
      <c r="N153" s="6"/>
      <c r="S153" s="6" t="s">
        <v>32</v>
      </c>
      <c r="T153" s="6"/>
      <c r="V153" s="6" t="s">
        <v>33</v>
      </c>
      <c r="W153" s="6"/>
      <c r="Y153" s="6" t="s">
        <v>34</v>
      </c>
      <c r="Z153" s="6"/>
      <c r="AB153" s="6" t="s">
        <v>35</v>
      </c>
      <c r="AC153" s="6"/>
      <c r="AE153" s="6" t="s">
        <v>36</v>
      </c>
      <c r="AF153" s="6"/>
    </row>
    <row r="154" spans="1:32" ht="45" customHeight="1" x14ac:dyDescent="0.3">
      <c r="A154" s="8" t="s">
        <v>62</v>
      </c>
      <c r="B154" s="8"/>
      <c r="D154" s="8" t="s">
        <v>62</v>
      </c>
      <c r="E154" s="8"/>
      <c r="G154" s="8" t="s">
        <v>62</v>
      </c>
      <c r="H154" s="8"/>
      <c r="J154" s="8" t="s">
        <v>62</v>
      </c>
      <c r="K154" s="8"/>
      <c r="M154" s="8" t="s">
        <v>62</v>
      </c>
      <c r="N154" s="8"/>
      <c r="S154" s="8" t="s">
        <v>63</v>
      </c>
      <c r="T154" s="8"/>
      <c r="V154" s="8" t="s">
        <v>63</v>
      </c>
      <c r="W154" s="8"/>
      <c r="Y154" s="8" t="s">
        <v>63</v>
      </c>
      <c r="Z154" s="8"/>
      <c r="AB154" s="8" t="s">
        <v>63</v>
      </c>
      <c r="AC154" s="8"/>
      <c r="AE154" s="8" t="s">
        <v>63</v>
      </c>
      <c r="AF154" s="8"/>
    </row>
    <row r="155" spans="1:32" x14ac:dyDescent="0.3">
      <c r="A155" s="1" t="s">
        <v>1</v>
      </c>
      <c r="B155" s="1" t="s">
        <v>0</v>
      </c>
      <c r="D155" s="1" t="s">
        <v>1</v>
      </c>
      <c r="E155" s="1" t="s">
        <v>0</v>
      </c>
      <c r="G155" s="1" t="s">
        <v>1</v>
      </c>
      <c r="H155" s="1" t="s">
        <v>0</v>
      </c>
      <c r="J155" s="1" t="s">
        <v>1</v>
      </c>
      <c r="K155" s="1" t="s">
        <v>0</v>
      </c>
      <c r="M155" s="1" t="s">
        <v>1</v>
      </c>
      <c r="N155" s="1" t="s">
        <v>0</v>
      </c>
      <c r="S155" s="1" t="s">
        <v>1</v>
      </c>
      <c r="T155" s="1" t="s">
        <v>0</v>
      </c>
      <c r="V155" s="1" t="s">
        <v>1</v>
      </c>
      <c r="W155" s="1" t="s">
        <v>0</v>
      </c>
      <c r="Y155" s="1" t="s">
        <v>1</v>
      </c>
      <c r="Z155" s="1" t="s">
        <v>0</v>
      </c>
      <c r="AB155" s="1" t="s">
        <v>1</v>
      </c>
      <c r="AC155" s="1" t="s">
        <v>0</v>
      </c>
      <c r="AE155" s="1" t="s">
        <v>1</v>
      </c>
      <c r="AF155" s="1" t="s">
        <v>0</v>
      </c>
    </row>
    <row r="156" spans="1:32" x14ac:dyDescent="0.3">
      <c r="A156" s="4">
        <f>1629135330.38051-1629135330.31371</f>
        <v>6.6800117492675781E-2</v>
      </c>
      <c r="B156" s="3">
        <f>A156*1000</f>
        <v>66.800117492675781</v>
      </c>
      <c r="D156" s="4">
        <f>1629135330.38054-1629135330.31371</f>
        <v>6.6829919815063477E-2</v>
      </c>
      <c r="E156" s="3">
        <f>D156*1000</f>
        <v>66.829919815063477</v>
      </c>
      <c r="G156" s="4">
        <f>1629135330.38132-1629135330.31371</f>
        <v>6.7610025405883789E-2</v>
      </c>
      <c r="H156" s="3">
        <f>G156*1000</f>
        <v>67.610025405883789</v>
      </c>
      <c r="J156" s="4">
        <f>1629135330.38056-1629135330.31371</f>
        <v>6.6849946975708008E-2</v>
      </c>
      <c r="K156" s="3">
        <f>J156*1000</f>
        <v>66.849946975708008</v>
      </c>
      <c r="M156" s="4">
        <f>1629135330.38087-1629135330.31371</f>
        <v>6.7160129547119141E-2</v>
      </c>
      <c r="N156" s="3">
        <f>M156*1000</f>
        <v>67.160129547119141</v>
      </c>
      <c r="S156" s="4">
        <f>1629135176.92594-1629135176.85131</f>
        <v>7.4630022048950195E-2</v>
      </c>
      <c r="T156" s="3">
        <f>S156*1000</f>
        <v>74.630022048950195</v>
      </c>
      <c r="V156" s="4">
        <f>1629135176.92642-1629135176.85131</f>
        <v>7.5109958648681641E-2</v>
      </c>
      <c r="W156" s="3">
        <f>V156*1000</f>
        <v>75.109958648681641</v>
      </c>
      <c r="Y156" s="4">
        <f>1629135176.92594-1629135176.85131</f>
        <v>7.4630022048950195E-2</v>
      </c>
      <c r="Z156" s="3">
        <f>Y156*1000</f>
        <v>74.630022048950195</v>
      </c>
      <c r="AB156" s="4">
        <f>1629135176.92708-1629135176.85131</f>
        <v>7.5769901275634766E-2</v>
      </c>
      <c r="AC156" s="3">
        <f>AB156*1000</f>
        <v>75.769901275634766</v>
      </c>
      <c r="AE156" s="4">
        <f>1629135176.92667-1629135176.85131</f>
        <v>7.536005973815918E-2</v>
      </c>
      <c r="AF156" s="3">
        <f>AE156*1000</f>
        <v>75.36005973815918</v>
      </c>
    </row>
    <row r="157" spans="1:32" x14ac:dyDescent="0.3">
      <c r="A157" s="4">
        <f>1629135331.45251-1629135331.3861</f>
        <v>6.6410064697265625E-2</v>
      </c>
      <c r="B157" s="3">
        <f t="shared" ref="B157:B165" si="94">A157*1000</f>
        <v>66.410064697265625</v>
      </c>
      <c r="D157" s="4">
        <f>1629135331.45245-1629135331.3861</f>
        <v>6.6349983215332031E-2</v>
      </c>
      <c r="E157" s="3">
        <f t="shared" ref="E157:E165" si="95">D157*1000</f>
        <v>66.349983215332031</v>
      </c>
      <c r="G157" s="4">
        <f>1629135331.45299-1629135331.3861</f>
        <v>6.689000129699707E-2</v>
      </c>
      <c r="H157" s="3">
        <f t="shared" ref="H157:H165" si="96">G157*1000</f>
        <v>66.89000129699707</v>
      </c>
      <c r="J157" s="4">
        <f>1629135331.45254-1629135331.3861</f>
        <v>6.643986701965332E-2</v>
      </c>
      <c r="K157" s="3">
        <f t="shared" ref="K157:K165" si="97">J157*1000</f>
        <v>66.43986701965332</v>
      </c>
      <c r="M157" s="4">
        <f>1629135331.45322-1629135331.3861</f>
        <v>6.7119836807250977E-2</v>
      </c>
      <c r="N157" s="3">
        <f t="shared" ref="N157:N165" si="98">M157*1000</f>
        <v>67.119836807250977</v>
      </c>
      <c r="S157" s="4">
        <f>1629135177.99765-1629135177.92672</f>
        <v>7.0930004119873047E-2</v>
      </c>
      <c r="T157" s="3">
        <f t="shared" ref="T157:T165" si="99">S157*1000</f>
        <v>70.930004119873047</v>
      </c>
      <c r="V157" s="4">
        <f>1629135177.99879-1629135177.92672</f>
        <v>7.2070121765136719E-2</v>
      </c>
      <c r="W157" s="3">
        <f t="shared" ref="W157:W165" si="100">V157*1000</f>
        <v>72.070121765136719</v>
      </c>
      <c r="Y157" s="4">
        <f>1629135177.99766-1629135177.92672</f>
        <v>7.0940017700195313E-2</v>
      </c>
      <c r="Z157" s="3">
        <f t="shared" ref="Z157:Z165" si="101">Y157*1000</f>
        <v>70.940017700195313</v>
      </c>
      <c r="AB157" s="4">
        <f>1629135177.9982-1629135177.92672</f>
        <v>7.1480035781860352E-2</v>
      </c>
      <c r="AC157" s="3">
        <f t="shared" ref="AC157:AC165" si="102">AB157*1000</f>
        <v>71.480035781860352</v>
      </c>
      <c r="AE157" s="4">
        <f>1629135177.99824-1629135177.92672</f>
        <v>7.1520090103149414E-2</v>
      </c>
      <c r="AF157" s="3">
        <f t="shared" ref="AF157:AF165" si="103">AE157*1000</f>
        <v>71.520090103149414</v>
      </c>
    </row>
    <row r="158" spans="1:32" x14ac:dyDescent="0.3">
      <c r="A158" s="4">
        <f>1629135332.52431-1629135332.45751</f>
        <v>6.6800117492675781E-2</v>
      </c>
      <c r="B158" s="3">
        <f t="shared" si="94"/>
        <v>66.800117492675781</v>
      </c>
      <c r="D158" s="4">
        <f>1629135332.52436-1629135332.45751</f>
        <v>6.6849946975708008E-2</v>
      </c>
      <c r="E158" s="3">
        <f t="shared" si="95"/>
        <v>66.849946975708008</v>
      </c>
      <c r="G158" s="4">
        <f>1629135332.52484-1629135332.45751</f>
        <v>6.7330121994018555E-2</v>
      </c>
      <c r="H158" s="3">
        <f t="shared" si="96"/>
        <v>67.330121994018555</v>
      </c>
      <c r="J158" s="4">
        <f>1629135332.52441-1629135332.45751</f>
        <v>6.6900014877319336E-2</v>
      </c>
      <c r="K158" s="3">
        <f t="shared" si="97"/>
        <v>66.900014877319336</v>
      </c>
      <c r="M158" s="4">
        <f>1629135332.52514-1629135332.45751</f>
        <v>6.763005256652832E-2</v>
      </c>
      <c r="N158" s="3">
        <f t="shared" si="98"/>
        <v>67.63005256652832</v>
      </c>
      <c r="S158" s="4">
        <f>1629135179.06968-1629135178.99826</f>
        <v>7.1419954299926758E-2</v>
      </c>
      <c r="T158" s="3">
        <f t="shared" si="99"/>
        <v>71.419954299926758</v>
      </c>
      <c r="V158" s="4">
        <f>1629135179.07038-1629135178.99826</f>
        <v>7.2119951248168945E-2</v>
      </c>
      <c r="W158" s="3">
        <f t="shared" si="100"/>
        <v>72.119951248168945</v>
      </c>
      <c r="Y158" s="4">
        <f>1629135179.06968-1629135178.99826</f>
        <v>7.1419954299926758E-2</v>
      </c>
      <c r="Z158" s="3">
        <f t="shared" si="101"/>
        <v>71.419954299926758</v>
      </c>
      <c r="AB158" s="4">
        <f>1629135179.07028-1629135178.99826</f>
        <v>7.2020053863525391E-2</v>
      </c>
      <c r="AC158" s="3">
        <f t="shared" si="102"/>
        <v>72.020053863525391</v>
      </c>
      <c r="AE158" s="4">
        <f>1629135179.07032-1629135178.99826</f>
        <v>7.2059869766235352E-2</v>
      </c>
      <c r="AF158" s="3">
        <f t="shared" si="103"/>
        <v>72.059869766235352</v>
      </c>
    </row>
    <row r="159" spans="1:32" x14ac:dyDescent="0.3">
      <c r="A159" s="4">
        <f>1629135333.59637-1629135333.5298</f>
        <v>6.6570043563842773E-2</v>
      </c>
      <c r="B159" s="3">
        <f t="shared" si="94"/>
        <v>66.570043563842773</v>
      </c>
      <c r="D159" s="4">
        <f>1629135333.59636-1629135333.5298</f>
        <v>6.6560029983520508E-2</v>
      </c>
      <c r="E159" s="3">
        <f t="shared" si="95"/>
        <v>66.560029983520508</v>
      </c>
      <c r="G159" s="4">
        <f>1629135333.59691-1629135333.5298</f>
        <v>6.7110061645507813E-2</v>
      </c>
      <c r="H159" s="3">
        <f t="shared" si="96"/>
        <v>67.110061645507813</v>
      </c>
      <c r="J159" s="4">
        <f>1629135333.59648-1629135333.5298</f>
        <v>6.6679954528808594E-2</v>
      </c>
      <c r="K159" s="3">
        <f t="shared" si="97"/>
        <v>66.679954528808594</v>
      </c>
      <c r="M159" s="4">
        <f>1629135333.59636-1629135333.5298</f>
        <v>6.6560029983520508E-2</v>
      </c>
      <c r="N159" s="3">
        <f t="shared" si="98"/>
        <v>66.560029983520508</v>
      </c>
      <c r="S159" s="4">
        <f>1629135180.14184-1629135180.07056</f>
        <v>7.1280002593994141E-2</v>
      </c>
      <c r="T159" s="3">
        <f t="shared" si="99"/>
        <v>71.280002593994141</v>
      </c>
      <c r="V159" s="4">
        <f>1629135180.1419-1629135180.07056</f>
        <v>7.1340084075927734E-2</v>
      </c>
      <c r="W159" s="3">
        <f t="shared" si="100"/>
        <v>71.340084075927734</v>
      </c>
      <c r="Y159" s="4">
        <f>1629135180.14236-1629135180.07056</f>
        <v>7.1799993515014648E-2</v>
      </c>
      <c r="Z159" s="3">
        <f t="shared" si="101"/>
        <v>71.799993515014648</v>
      </c>
      <c r="AB159" s="4">
        <f>1629135180.1424-1629135180.07056</f>
        <v>7.1840047836303711E-2</v>
      </c>
      <c r="AC159" s="3">
        <f t="shared" si="102"/>
        <v>71.840047836303711</v>
      </c>
      <c r="AE159" s="4">
        <f>1629135180.1424-1629135180.07056</f>
        <v>7.1840047836303711E-2</v>
      </c>
      <c r="AF159" s="3">
        <f t="shared" si="103"/>
        <v>71.840047836303711</v>
      </c>
    </row>
    <row r="160" spans="1:32" x14ac:dyDescent="0.3">
      <c r="A160" s="4">
        <f>1629135334.66837-1629135334.60144</f>
        <v>6.6930055618286133E-2</v>
      </c>
      <c r="B160" s="3">
        <f t="shared" si="94"/>
        <v>66.930055618286133</v>
      </c>
      <c r="D160" s="4">
        <f>1629135334.66846-1629135334.60144</f>
        <v>6.7019939422607422E-2</v>
      </c>
      <c r="E160" s="3">
        <f t="shared" si="95"/>
        <v>67.019939422607422</v>
      </c>
      <c r="G160" s="4">
        <f>1629135334.6689-1629135334.60144</f>
        <v>6.7460060119628906E-2</v>
      </c>
      <c r="H160" s="3">
        <f t="shared" si="96"/>
        <v>67.460060119628906</v>
      </c>
      <c r="J160" s="4">
        <f>1629135334.66837-1629135334.60144</f>
        <v>6.6930055618286133E-2</v>
      </c>
      <c r="K160" s="3">
        <f t="shared" si="97"/>
        <v>66.930055618286133</v>
      </c>
      <c r="M160" s="4">
        <f>1629135334.66837-1629135334.60144</f>
        <v>6.6930055618286133E-2</v>
      </c>
      <c r="N160" s="3">
        <f t="shared" si="98"/>
        <v>66.930055618286133</v>
      </c>
      <c r="S160" s="4">
        <f>1629135181.21356-1629135181.14242</f>
        <v>7.1140050888061523E-2</v>
      </c>
      <c r="T160" s="3">
        <f t="shared" si="99"/>
        <v>71.140050888061523</v>
      </c>
      <c r="V160" s="4">
        <f>1629135181.21351-1629135181.14242</f>
        <v>7.1089982986450195E-2</v>
      </c>
      <c r="W160" s="3">
        <f t="shared" si="100"/>
        <v>71.089982986450195</v>
      </c>
      <c r="Y160" s="4">
        <f>1629135181.2141-1629135181.14242</f>
        <v>7.1679830551147461E-2</v>
      </c>
      <c r="Z160" s="3">
        <f t="shared" si="101"/>
        <v>71.679830551147461</v>
      </c>
      <c r="AB160" s="4">
        <f>1629135181.21412-1629135181.14242</f>
        <v>7.1699857711791992E-2</v>
      </c>
      <c r="AC160" s="3">
        <f t="shared" si="102"/>
        <v>71.699857711791992</v>
      </c>
      <c r="AE160" s="4">
        <f>1629135181.21413-1629135181.14242</f>
        <v>7.1709871292114258E-2</v>
      </c>
      <c r="AF160" s="3">
        <f t="shared" si="103"/>
        <v>71.709871292114258</v>
      </c>
    </row>
    <row r="161" spans="1:32" x14ac:dyDescent="0.3">
      <c r="A161" s="4">
        <f>1629135335.74032-1629135335.67394</f>
        <v>6.6380023956298828E-2</v>
      </c>
      <c r="B161" s="3">
        <f t="shared" si="94"/>
        <v>66.380023956298828</v>
      </c>
      <c r="D161" s="4">
        <f>1629135335.74041-1629135335.67394</f>
        <v>6.6470146179199219E-2</v>
      </c>
      <c r="E161" s="3">
        <f t="shared" si="95"/>
        <v>66.470146179199219</v>
      </c>
      <c r="G161" s="4">
        <f>1629135335.74092-1629135335.67394</f>
        <v>6.6980123519897461E-2</v>
      </c>
      <c r="H161" s="3">
        <f t="shared" si="96"/>
        <v>66.980123519897461</v>
      </c>
      <c r="J161" s="4">
        <f>1629135335.74032-1629135335.67394</f>
        <v>6.6380023956298828E-2</v>
      </c>
      <c r="K161" s="3">
        <f t="shared" si="97"/>
        <v>66.380023956298828</v>
      </c>
      <c r="M161" s="4">
        <f>1629135335.74032-1629135335.67394</f>
        <v>6.6380023956298828E-2</v>
      </c>
      <c r="N161" s="3">
        <f t="shared" si="98"/>
        <v>66.380023956298828</v>
      </c>
      <c r="S161" s="4">
        <f>1629135182.28561-1629135182.21446</f>
        <v>7.1150064468383789E-2</v>
      </c>
      <c r="T161" s="3">
        <f t="shared" si="99"/>
        <v>71.150064468383789</v>
      </c>
      <c r="V161" s="4">
        <f>1629135182.28567-1629135182.21446</f>
        <v>7.1210145950317383E-2</v>
      </c>
      <c r="W161" s="3">
        <f t="shared" si="100"/>
        <v>71.210145950317383</v>
      </c>
      <c r="Y161" s="4">
        <f>1629135182.28619-1629135182.21446</f>
        <v>7.1730136871337891E-2</v>
      </c>
      <c r="Z161" s="3">
        <f t="shared" si="101"/>
        <v>71.730136871337891</v>
      </c>
      <c r="AB161" s="4">
        <f>1629135182.28619-1629135182.21446</f>
        <v>7.1730136871337891E-2</v>
      </c>
      <c r="AC161" s="3">
        <f t="shared" si="102"/>
        <v>71.730136871337891</v>
      </c>
      <c r="AE161" s="4">
        <f>1629135182.28648-1629135182.21446</f>
        <v>7.2020053863525391E-2</v>
      </c>
      <c r="AF161" s="3">
        <f t="shared" si="103"/>
        <v>72.020053863525391</v>
      </c>
    </row>
    <row r="162" spans="1:32" x14ac:dyDescent="0.3">
      <c r="A162" s="4">
        <f>1629135336.81249-1629135336.74598</f>
        <v>6.650996208190918E-2</v>
      </c>
      <c r="B162" s="3">
        <f t="shared" si="94"/>
        <v>66.50996208190918</v>
      </c>
      <c r="D162" s="4">
        <f>1629135336.81258-1629135336.74598</f>
        <v>6.660008430480957E-2</v>
      </c>
      <c r="E162" s="3">
        <f t="shared" si="95"/>
        <v>66.60008430480957</v>
      </c>
      <c r="G162" s="4">
        <f>1629135336.81314-1629135336.74598</f>
        <v>6.7159891128540039E-2</v>
      </c>
      <c r="H162" s="3">
        <f t="shared" si="96"/>
        <v>67.159891128540039</v>
      </c>
      <c r="J162" s="4">
        <f>1629135336.81309-1629135336.74598</f>
        <v>6.7110061645507813E-2</v>
      </c>
      <c r="K162" s="3">
        <f t="shared" si="97"/>
        <v>67.110061645507813</v>
      </c>
      <c r="M162" s="4">
        <f>1629135336.81249-1629135336.74598</f>
        <v>6.650996208190918E-2</v>
      </c>
      <c r="N162" s="3">
        <f t="shared" si="98"/>
        <v>66.50996208190918</v>
      </c>
      <c r="S162" s="4">
        <f>1629135183.35822-1629135183.28589</f>
        <v>7.2329998016357422E-2</v>
      </c>
      <c r="T162" s="3">
        <f t="shared" si="99"/>
        <v>72.329998016357422</v>
      </c>
      <c r="V162" s="4">
        <f>1629135183.35772-1629135183.28589</f>
        <v>7.1829795837402344E-2</v>
      </c>
      <c r="W162" s="3">
        <f t="shared" si="100"/>
        <v>71.829795837402344</v>
      </c>
      <c r="Y162" s="4">
        <f>1629135183.35831-1629135183.28589</f>
        <v>7.2419881820678711E-2</v>
      </c>
      <c r="Z162" s="3">
        <f t="shared" si="101"/>
        <v>72.419881820678711</v>
      </c>
      <c r="AB162" s="4">
        <f>1629135183.35836-1629135183.28589</f>
        <v>7.2469949722290039E-2</v>
      </c>
      <c r="AC162" s="3">
        <f t="shared" si="102"/>
        <v>72.469949722290039</v>
      </c>
      <c r="AE162" s="4">
        <f>1629135183.35777-1629135183.28589</f>
        <v>7.1879863739013672E-2</v>
      </c>
      <c r="AF162" s="3">
        <f t="shared" si="103"/>
        <v>71.879863739013672</v>
      </c>
    </row>
    <row r="163" spans="1:32" x14ac:dyDescent="0.3">
      <c r="A163" s="4">
        <f>1629135337.88443-1629135337.81804</f>
        <v>6.6390037536621094E-2</v>
      </c>
      <c r="B163" s="3">
        <f t="shared" si="94"/>
        <v>66.390037536621094</v>
      </c>
      <c r="D163" s="4">
        <f>1629135337.88443-1629135337.81804</f>
        <v>6.6390037536621094E-2</v>
      </c>
      <c r="E163" s="3">
        <f t="shared" si="95"/>
        <v>66.390037536621094</v>
      </c>
      <c r="G163" s="4">
        <f>1629135337.8849-1629135337.81804</f>
        <v>6.6860198974609375E-2</v>
      </c>
      <c r="H163" s="3">
        <f t="shared" si="96"/>
        <v>66.860198974609375</v>
      </c>
      <c r="J163" s="4">
        <f>1629135337.88496-1629135337.81804</f>
        <v>6.6920042037963867E-2</v>
      </c>
      <c r="K163" s="3">
        <f t="shared" si="97"/>
        <v>66.920042037963867</v>
      </c>
      <c r="M163" s="4">
        <f>1629135337.88457-1629135337.81804</f>
        <v>6.6529989242553711E-2</v>
      </c>
      <c r="N163" s="3">
        <f t="shared" si="98"/>
        <v>66.529989242553711</v>
      </c>
      <c r="S163" s="4">
        <f>1629135184.43026-1629135184.35837</f>
        <v>7.1889877319335938E-2</v>
      </c>
      <c r="T163" s="3">
        <f t="shared" si="99"/>
        <v>71.889877319335938</v>
      </c>
      <c r="V163" s="4">
        <f>1629135184.42972-1629135184.35837</f>
        <v>7.1349859237670898E-2</v>
      </c>
      <c r="W163" s="3">
        <f t="shared" si="100"/>
        <v>71.349859237670898</v>
      </c>
      <c r="Y163" s="4">
        <f>1629135184.4303-1629135184.35837</f>
        <v>7.1929931640625E-2</v>
      </c>
      <c r="Z163" s="3">
        <f t="shared" si="101"/>
        <v>71.929931640625</v>
      </c>
      <c r="AB163" s="4">
        <f>1629135184.43034-1629135184.35837</f>
        <v>7.1969985961914063E-2</v>
      </c>
      <c r="AC163" s="3">
        <f t="shared" si="102"/>
        <v>71.969985961914063</v>
      </c>
      <c r="AE163" s="4">
        <f>1629135184.42974-1629135184.35837</f>
        <v>7.136988639831543E-2</v>
      </c>
      <c r="AF163" s="3">
        <f t="shared" si="103"/>
        <v>71.36988639831543</v>
      </c>
    </row>
    <row r="164" spans="1:32" x14ac:dyDescent="0.3">
      <c r="A164" s="4">
        <f>1629135338.96041-1629135338.88999</f>
        <v>7.0420026779174805E-2</v>
      </c>
      <c r="B164" s="3">
        <f t="shared" si="94"/>
        <v>70.420026779174805</v>
      </c>
      <c r="D164" s="4">
        <f>1629135338.96033-1629135338.88999</f>
        <v>7.033991813659668E-2</v>
      </c>
      <c r="E164" s="3">
        <f t="shared" si="95"/>
        <v>70.33991813659668</v>
      </c>
      <c r="G164" s="4">
        <f>1629135338.96079-1629135338.88999</f>
        <v>7.0799827575683594E-2</v>
      </c>
      <c r="H164" s="3">
        <f t="shared" si="96"/>
        <v>70.799827575683594</v>
      </c>
      <c r="J164" s="4">
        <f>1629135338.96085-1629135338.88999</f>
        <v>7.0859909057617188E-2</v>
      </c>
      <c r="K164" s="3">
        <f t="shared" si="97"/>
        <v>70.859909057617188</v>
      </c>
      <c r="M164" s="4">
        <f>1629135338.96033-1629135338.88999</f>
        <v>7.033991813659668E-2</v>
      </c>
      <c r="N164" s="3">
        <f t="shared" si="98"/>
        <v>70.33991813659668</v>
      </c>
      <c r="S164" s="4">
        <f>1629135185.50214-1629135185.43034</f>
        <v>7.1799993515014648E-2</v>
      </c>
      <c r="T164" s="3">
        <f t="shared" si="99"/>
        <v>71.799993515014648</v>
      </c>
      <c r="V164" s="4">
        <f>1629135185.5017-1629135185.43034</f>
        <v>7.1359872817993164E-2</v>
      </c>
      <c r="W164" s="3">
        <f t="shared" si="100"/>
        <v>71.359872817993164</v>
      </c>
      <c r="Y164" s="4">
        <f>1629135185.50217-1629135185.43034</f>
        <v>7.1830034255981445E-2</v>
      </c>
      <c r="Z164" s="3">
        <f t="shared" si="101"/>
        <v>71.830034255981445</v>
      </c>
      <c r="AB164" s="4">
        <f>1629135185.50222-1629135185.43034</f>
        <v>7.1879863739013672E-2</v>
      </c>
      <c r="AC164" s="3">
        <f t="shared" si="102"/>
        <v>71.879863739013672</v>
      </c>
      <c r="AE164" s="4">
        <f>1629135185.50165-1629135185.43034</f>
        <v>7.1310043334960938E-2</v>
      </c>
      <c r="AF164" s="3">
        <f t="shared" si="103"/>
        <v>71.310043334960938</v>
      </c>
    </row>
    <row r="165" spans="1:32" x14ac:dyDescent="0.3">
      <c r="A165" s="4">
        <f>1629135340.02826-1629135339.9655</f>
        <v>6.2759876251220703E-2</v>
      </c>
      <c r="B165" s="3">
        <f t="shared" si="94"/>
        <v>62.759876251220703</v>
      </c>
      <c r="D165" s="4">
        <f>1629135340.02826-1629135339.9655</f>
        <v>6.2759876251220703E-2</v>
      </c>
      <c r="E165" s="3">
        <f t="shared" si="95"/>
        <v>62.759876251220703</v>
      </c>
      <c r="G165" s="4">
        <f>1629135340.03294-1629135339.9655</f>
        <v>6.7439794540405273E-2</v>
      </c>
      <c r="H165" s="3">
        <f t="shared" si="96"/>
        <v>67.439794540405273</v>
      </c>
      <c r="J165" s="4">
        <f>1629135340.03179-1629135339.9655</f>
        <v>6.6289901733398438E-2</v>
      </c>
      <c r="K165" s="3">
        <f t="shared" si="97"/>
        <v>66.289901733398438</v>
      </c>
      <c r="M165" s="4">
        <f>1629135340.02834-1629135339.9655</f>
        <v>6.2839984893798828E-2</v>
      </c>
      <c r="N165" s="3">
        <f t="shared" si="98"/>
        <v>62.839984893798828</v>
      </c>
      <c r="S165" s="4">
        <f>1629135186.57389-1629135186.50223</f>
        <v>7.1660041809082031E-2</v>
      </c>
      <c r="T165" s="3">
        <f t="shared" si="99"/>
        <v>71.660041809082031</v>
      </c>
      <c r="V165" s="4">
        <f>1629135186.57355-1629135186.50223</f>
        <v>7.1320056915283203E-2</v>
      </c>
      <c r="W165" s="3">
        <f t="shared" si="100"/>
        <v>71.320056915283203</v>
      </c>
      <c r="Y165" s="4">
        <f>1629135186.57852-1629135186.50223</f>
        <v>7.6290130615234375E-2</v>
      </c>
      <c r="Z165" s="3">
        <f t="shared" si="101"/>
        <v>76.290130615234375</v>
      </c>
      <c r="AB165" s="4">
        <f>1629135186.57843-1629135186.50223</f>
        <v>7.6200008392333984E-2</v>
      </c>
      <c r="AC165" s="3">
        <f t="shared" si="102"/>
        <v>76.200008392333984</v>
      </c>
      <c r="AE165" s="4">
        <f>1629135186.57352-1629135186.50223</f>
        <v>7.1290016174316406E-2</v>
      </c>
      <c r="AF165" s="3">
        <f t="shared" si="103"/>
        <v>71.290016174316406</v>
      </c>
    </row>
    <row r="166" spans="1:32" x14ac:dyDescent="0.3">
      <c r="B166" s="2">
        <f>AVERAGE(B156:B165)</f>
        <v>66.59703254699707</v>
      </c>
      <c r="E166" s="2">
        <f>AVERAGE(E156:E165)</f>
        <v>66.616988182067871</v>
      </c>
      <c r="H166" s="2">
        <f>AVERAGE(H156:H165)</f>
        <v>67.564010620117188</v>
      </c>
      <c r="K166" s="2">
        <f>AVERAGE(K156:K165)</f>
        <v>67.135977745056152</v>
      </c>
      <c r="N166" s="2">
        <f>AVERAGE(N156:N165)</f>
        <v>66.79999828338623</v>
      </c>
      <c r="T166" s="2">
        <f>AVERAGE(T156:T165)</f>
        <v>71.823000907897949</v>
      </c>
      <c r="W166" s="2">
        <f>AVERAGE(W156:W165)</f>
        <v>71.879982948303223</v>
      </c>
      <c r="Z166" s="2">
        <f>AVERAGE(Z156:Z165)</f>
        <v>72.46699333190918</v>
      </c>
      <c r="AC166" s="2">
        <f>AVERAGE(AC156:AC165)</f>
        <v>72.705984115600586</v>
      </c>
      <c r="AF166" s="2">
        <f>AVERAGE(AF156:AF165)</f>
        <v>72.035980224609375</v>
      </c>
    </row>
  </sheetData>
  <mergeCells count="206">
    <mergeCell ref="AE139:AF139"/>
    <mergeCell ref="A153:B153"/>
    <mergeCell ref="D153:E153"/>
    <mergeCell ref="G153:H153"/>
    <mergeCell ref="J153:K153"/>
    <mergeCell ref="M153:N153"/>
    <mergeCell ref="S153:T153"/>
    <mergeCell ref="V154:W154"/>
    <mergeCell ref="Y154:Z154"/>
    <mergeCell ref="AB154:AC154"/>
    <mergeCell ref="AE154:AF154"/>
    <mergeCell ref="V153:W153"/>
    <mergeCell ref="Y153:Z153"/>
    <mergeCell ref="AB153:AC153"/>
    <mergeCell ref="AE153:AF153"/>
    <mergeCell ref="A154:B154"/>
    <mergeCell ref="D154:E154"/>
    <mergeCell ref="G154:H154"/>
    <mergeCell ref="J154:K154"/>
    <mergeCell ref="M154:N154"/>
    <mergeCell ref="S154:T154"/>
    <mergeCell ref="A139:B139"/>
    <mergeCell ref="D139:E139"/>
    <mergeCell ref="G139:H139"/>
    <mergeCell ref="J139:K139"/>
    <mergeCell ref="M139:N139"/>
    <mergeCell ref="S139:T139"/>
    <mergeCell ref="V139:W139"/>
    <mergeCell ref="Y139:Z139"/>
    <mergeCell ref="AB139:AC139"/>
    <mergeCell ref="AE124:AF124"/>
    <mergeCell ref="A138:B138"/>
    <mergeCell ref="D138:E138"/>
    <mergeCell ref="G138:H138"/>
    <mergeCell ref="J138:K138"/>
    <mergeCell ref="M138:N138"/>
    <mergeCell ref="S138:T138"/>
    <mergeCell ref="V138:W138"/>
    <mergeCell ref="Y138:Z138"/>
    <mergeCell ref="AB138:AC138"/>
    <mergeCell ref="AE138:AF138"/>
    <mergeCell ref="A124:B124"/>
    <mergeCell ref="D124:E124"/>
    <mergeCell ref="G124:H124"/>
    <mergeCell ref="J124:K124"/>
    <mergeCell ref="M124:N124"/>
    <mergeCell ref="S124:T124"/>
    <mergeCell ref="V124:W124"/>
    <mergeCell ref="Y124:Z124"/>
    <mergeCell ref="AB124:AC124"/>
    <mergeCell ref="AE109:AF109"/>
    <mergeCell ref="A123:B123"/>
    <mergeCell ref="D123:E123"/>
    <mergeCell ref="G123:H123"/>
    <mergeCell ref="J123:K123"/>
    <mergeCell ref="M123:N123"/>
    <mergeCell ref="S123:T123"/>
    <mergeCell ref="V123:W123"/>
    <mergeCell ref="Y123:Z123"/>
    <mergeCell ref="AB123:AC123"/>
    <mergeCell ref="AE123:AF123"/>
    <mergeCell ref="A109:B109"/>
    <mergeCell ref="D109:E109"/>
    <mergeCell ref="G109:H109"/>
    <mergeCell ref="J109:K109"/>
    <mergeCell ref="M109:N109"/>
    <mergeCell ref="S109:T109"/>
    <mergeCell ref="V109:W109"/>
    <mergeCell ref="Y109:Z109"/>
    <mergeCell ref="AB109:AC109"/>
    <mergeCell ref="AE94:AF94"/>
    <mergeCell ref="A108:B108"/>
    <mergeCell ref="D108:E108"/>
    <mergeCell ref="G108:H108"/>
    <mergeCell ref="J108:K108"/>
    <mergeCell ref="M108:N108"/>
    <mergeCell ref="S108:T108"/>
    <mergeCell ref="V108:W108"/>
    <mergeCell ref="Y108:Z108"/>
    <mergeCell ref="AB108:AC108"/>
    <mergeCell ref="AE108:AF108"/>
    <mergeCell ref="A94:B94"/>
    <mergeCell ref="D94:E94"/>
    <mergeCell ref="G94:H94"/>
    <mergeCell ref="J94:K94"/>
    <mergeCell ref="M94:N94"/>
    <mergeCell ref="S94:T94"/>
    <mergeCell ref="V94:W94"/>
    <mergeCell ref="Y94:Z94"/>
    <mergeCell ref="AB94:AC94"/>
    <mergeCell ref="AE79:AF79"/>
    <mergeCell ref="A93:B93"/>
    <mergeCell ref="D93:E93"/>
    <mergeCell ref="G93:H93"/>
    <mergeCell ref="J93:K93"/>
    <mergeCell ref="M93:N93"/>
    <mergeCell ref="S93:T93"/>
    <mergeCell ref="V93:W93"/>
    <mergeCell ref="Y93:Z93"/>
    <mergeCell ref="AB93:AC93"/>
    <mergeCell ref="AE93:AF93"/>
    <mergeCell ref="A79:B79"/>
    <mergeCell ref="D79:E79"/>
    <mergeCell ref="G79:H79"/>
    <mergeCell ref="J79:K79"/>
    <mergeCell ref="M79:N79"/>
    <mergeCell ref="S79:T79"/>
    <mergeCell ref="V79:W79"/>
    <mergeCell ref="Y79:Z79"/>
    <mergeCell ref="AB79:AC79"/>
    <mergeCell ref="AE64:AF64"/>
    <mergeCell ref="A78:B78"/>
    <mergeCell ref="D78:E78"/>
    <mergeCell ref="G78:H78"/>
    <mergeCell ref="J78:K78"/>
    <mergeCell ref="M78:N78"/>
    <mergeCell ref="S78:T78"/>
    <mergeCell ref="V78:W78"/>
    <mergeCell ref="Y78:Z78"/>
    <mergeCell ref="AB78:AC78"/>
    <mergeCell ref="AE78:AF78"/>
    <mergeCell ref="A64:B64"/>
    <mergeCell ref="D64:E64"/>
    <mergeCell ref="G64:H64"/>
    <mergeCell ref="J64:K64"/>
    <mergeCell ref="M64:N64"/>
    <mergeCell ref="S64:T64"/>
    <mergeCell ref="V64:W64"/>
    <mergeCell ref="Y64:Z64"/>
    <mergeCell ref="AB64:AC64"/>
    <mergeCell ref="AE49:AF49"/>
    <mergeCell ref="A63:B63"/>
    <mergeCell ref="D63:E63"/>
    <mergeCell ref="G63:H63"/>
    <mergeCell ref="J63:K63"/>
    <mergeCell ref="M63:N63"/>
    <mergeCell ref="S63:T63"/>
    <mergeCell ref="V63:W63"/>
    <mergeCell ref="Y63:Z63"/>
    <mergeCell ref="AB63:AC63"/>
    <mergeCell ref="AE63:AF63"/>
    <mergeCell ref="A49:B49"/>
    <mergeCell ref="D49:E49"/>
    <mergeCell ref="G49:H49"/>
    <mergeCell ref="J49:K49"/>
    <mergeCell ref="M49:N49"/>
    <mergeCell ref="S49:T49"/>
    <mergeCell ref="V49:W49"/>
    <mergeCell ref="Y49:Z49"/>
    <mergeCell ref="AB49:AC49"/>
    <mergeCell ref="AE34:AF34"/>
    <mergeCell ref="A48:B48"/>
    <mergeCell ref="D48:E48"/>
    <mergeCell ref="G48:H48"/>
    <mergeCell ref="J48:K48"/>
    <mergeCell ref="M48:N48"/>
    <mergeCell ref="S48:T48"/>
    <mergeCell ref="V48:W48"/>
    <mergeCell ref="Y48:Z48"/>
    <mergeCell ref="AB48:AC48"/>
    <mergeCell ref="AE48:AF48"/>
    <mergeCell ref="A34:B34"/>
    <mergeCell ref="D34:E34"/>
    <mergeCell ref="G34:H34"/>
    <mergeCell ref="J34:K34"/>
    <mergeCell ref="M34:N34"/>
    <mergeCell ref="S34:T34"/>
    <mergeCell ref="V34:W34"/>
    <mergeCell ref="Y34:Z34"/>
    <mergeCell ref="AB34:AC34"/>
    <mergeCell ref="V19:W19"/>
    <mergeCell ref="Y19:Z19"/>
    <mergeCell ref="AB19:AC19"/>
    <mergeCell ref="AE19:AF19"/>
    <mergeCell ref="A33:B33"/>
    <mergeCell ref="D33:E33"/>
    <mergeCell ref="G33:H33"/>
    <mergeCell ref="J33:K33"/>
    <mergeCell ref="M33:N33"/>
    <mergeCell ref="S33:T33"/>
    <mergeCell ref="V33:W33"/>
    <mergeCell ref="Y33:Z33"/>
    <mergeCell ref="AB33:AC33"/>
    <mergeCell ref="AE33:AF33"/>
    <mergeCell ref="A19:B19"/>
    <mergeCell ref="D19:E19"/>
    <mergeCell ref="G19:H19"/>
    <mergeCell ref="J19:K19"/>
    <mergeCell ref="M19:N19"/>
    <mergeCell ref="S19:T19"/>
    <mergeCell ref="A18:B18"/>
    <mergeCell ref="D18:E18"/>
    <mergeCell ref="G18:H18"/>
    <mergeCell ref="J18:K18"/>
    <mergeCell ref="M18:N18"/>
    <mergeCell ref="S18:T18"/>
    <mergeCell ref="A1:K1"/>
    <mergeCell ref="A2:B2"/>
    <mergeCell ref="D2:E2"/>
    <mergeCell ref="G2:H2"/>
    <mergeCell ref="J2:K2"/>
    <mergeCell ref="A16:AF16"/>
    <mergeCell ref="V18:W18"/>
    <mergeCell ref="Y18:Z18"/>
    <mergeCell ref="AB18:AC18"/>
    <mergeCell ref="AE18:AF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Scenario1</vt:lpstr>
      <vt:lpstr>Scenario2</vt:lpstr>
      <vt:lpstr>Scenario3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2022-06-24T15:27:25Z</dcterms:created>
  <dcterms:modified xsi:type="dcterms:W3CDTF">2022-06-24T15:27:38Z</dcterms:modified>
</cp:coreProperties>
</file>