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88146AD5-C46F-454D-862A-9B81D3E8D076}" xr6:coauthVersionLast="47" xr6:coauthVersionMax="47" xr10:uidLastSave="{00000000-0000-0000-0000-000000000000}"/>
  <bookViews>
    <workbookView xWindow="-38400" yWindow="-12860" windowWidth="38400" windowHeight="216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46" i="2" l="1"/>
  <c r="S145" i="2"/>
  <c r="R144" i="2"/>
  <c r="U146" i="2"/>
  <c r="T146" i="2"/>
  <c r="H146" i="2"/>
  <c r="D146" i="2"/>
  <c r="F146" i="2" s="1"/>
  <c r="U145" i="2"/>
  <c r="T145" i="2"/>
  <c r="H145" i="2"/>
  <c r="D145" i="2"/>
  <c r="F145" i="2" s="1"/>
  <c r="R142" i="2"/>
  <c r="T142" i="2" s="1"/>
  <c r="S143" i="2"/>
  <c r="U143" i="2" s="1"/>
  <c r="T143" i="2"/>
  <c r="H143" i="2"/>
  <c r="D143" i="2"/>
  <c r="F143" i="2" s="1"/>
  <c r="S141" i="2"/>
  <c r="U141" i="2" s="1"/>
  <c r="R140" i="2"/>
  <c r="T140" i="2" s="1"/>
  <c r="U142" i="2"/>
  <c r="H142" i="2"/>
  <c r="D142" i="2"/>
  <c r="F142" i="2" s="1"/>
  <c r="T141" i="2"/>
  <c r="H141" i="2"/>
  <c r="D141" i="2"/>
  <c r="F141" i="2" s="1"/>
  <c r="S139" i="2"/>
  <c r="U139" i="2" s="1"/>
  <c r="U140" i="2"/>
  <c r="U137" i="2"/>
  <c r="U138" i="2"/>
  <c r="R138" i="2"/>
  <c r="T138" i="2" s="1"/>
  <c r="T139" i="2"/>
  <c r="T137" i="2"/>
  <c r="H139" i="2"/>
  <c r="D139" i="2"/>
  <c r="F139" i="2" s="1"/>
  <c r="H138" i="2"/>
  <c r="D138" i="2"/>
  <c r="F138" i="2" s="1"/>
  <c r="H137" i="2"/>
  <c r="U134" i="2"/>
  <c r="R134" i="2"/>
  <c r="T134" i="2" s="1"/>
  <c r="R133" i="2"/>
  <c r="H134" i="2"/>
  <c r="D134" i="2"/>
  <c r="F134" i="2" s="1"/>
  <c r="S132" i="2"/>
  <c r="U132" i="2" s="1"/>
  <c r="T132" i="2"/>
  <c r="H132" i="2"/>
  <c r="D132" i="2"/>
  <c r="F132" i="2" s="1"/>
  <c r="R131" i="2"/>
  <c r="X174" i="2"/>
  <c r="X173" i="2"/>
  <c r="X172" i="2"/>
  <c r="R129" i="2"/>
  <c r="T129" i="2" s="1"/>
  <c r="R127" i="2"/>
  <c r="U129" i="2"/>
  <c r="H129" i="2"/>
  <c r="D129" i="2"/>
  <c r="F129" i="2" s="1"/>
  <c r="H128" i="2"/>
  <c r="D128" i="2"/>
  <c r="F128" i="2" s="1"/>
  <c r="H126" i="2"/>
  <c r="D126" i="2"/>
  <c r="F126" i="2" s="1"/>
  <c r="R125" i="2"/>
  <c r="S124" i="2"/>
  <c r="R123" i="2"/>
  <c r="S122" i="2"/>
  <c r="D123" i="2"/>
  <c r="F123" i="2" s="1"/>
  <c r="D122" i="2"/>
  <c r="F122" i="2" s="1"/>
  <c r="S120" i="2"/>
  <c r="U120" i="2" s="1"/>
  <c r="R119" i="2"/>
  <c r="T120" i="2"/>
  <c r="H120" i="2"/>
  <c r="D120" i="2"/>
  <c r="F120" i="2" s="1"/>
  <c r="U118" i="2"/>
  <c r="T118" i="2"/>
  <c r="H118" i="2"/>
  <c r="D118" i="2"/>
  <c r="F118" i="2" s="1"/>
  <c r="U117" i="2"/>
  <c r="T117" i="2"/>
  <c r="H117" i="2"/>
  <c r="D117" i="2"/>
  <c r="F117" i="2" s="1"/>
  <c r="S115" i="2"/>
  <c r="T114" i="2"/>
  <c r="S114" i="2"/>
  <c r="U114" i="2" s="1"/>
  <c r="H114" i="2"/>
  <c r="D114" i="2"/>
  <c r="F114" i="2" s="1"/>
  <c r="S112" i="2"/>
  <c r="H113" i="2"/>
  <c r="D113" i="2"/>
  <c r="F113" i="2" s="1"/>
  <c r="H112" i="2"/>
  <c r="R109" i="2"/>
  <c r="T109" i="2" s="1"/>
  <c r="S108" i="2"/>
  <c r="U108" i="2" s="1"/>
  <c r="U109" i="2"/>
  <c r="H109" i="2"/>
  <c r="D109" i="2"/>
  <c r="F109" i="2" s="1"/>
  <c r="T108" i="2"/>
  <c r="H108" i="2"/>
  <c r="D108" i="2"/>
  <c r="F108" i="2" s="1"/>
  <c r="R107" i="2"/>
  <c r="N107" i="2"/>
  <c r="S106" i="2"/>
  <c r="S105" i="2"/>
  <c r="U105" i="2" s="1"/>
  <c r="T105" i="2"/>
  <c r="H105" i="2"/>
  <c r="D105" i="2"/>
  <c r="F105" i="2" s="1"/>
  <c r="S104" i="2"/>
  <c r="S103" i="2"/>
  <c r="S101" i="2"/>
  <c r="R100" i="2"/>
  <c r="T100" i="2" s="1"/>
  <c r="U100" i="2"/>
  <c r="H100" i="2"/>
  <c r="D100" i="2"/>
  <c r="F100" i="2" s="1"/>
  <c r="S99" i="2"/>
  <c r="R98" i="2"/>
  <c r="T98" i="2" s="1"/>
  <c r="U98" i="2"/>
  <c r="H98" i="2"/>
  <c r="D98" i="2"/>
  <c r="F98" i="2" s="1"/>
  <c r="S97" i="2"/>
  <c r="S96" i="2"/>
  <c r="D96" i="2"/>
  <c r="F96" i="2" s="1"/>
  <c r="G96" i="2" s="1"/>
  <c r="S95" i="2"/>
  <c r="S94" i="2"/>
  <c r="D94" i="2"/>
  <c r="F94" i="2" s="1"/>
  <c r="G94" i="2" s="1"/>
  <c r="H94" i="2" s="1"/>
  <c r="R92" i="2"/>
  <c r="S91" i="2"/>
  <c r="S90" i="2"/>
  <c r="U90" i="2" s="1"/>
  <c r="T90" i="2"/>
  <c r="H90" i="2"/>
  <c r="D90" i="2"/>
  <c r="F90" i="2" s="1"/>
  <c r="S89" i="2"/>
  <c r="S87" i="2"/>
  <c r="D87" i="2"/>
  <c r="F87" i="2" s="1"/>
  <c r="G87" i="2" s="1"/>
  <c r="S86" i="2"/>
  <c r="S85" i="2"/>
  <c r="S84" i="2"/>
  <c r="S83" i="2"/>
  <c r="D85" i="2"/>
  <c r="F85" i="2" s="1"/>
  <c r="G85" i="2" s="1"/>
  <c r="D84" i="2"/>
  <c r="F84" i="2" s="1"/>
  <c r="G84" i="2" s="1"/>
  <c r="R82" i="2"/>
  <c r="T82" i="2" s="1"/>
  <c r="U82" i="2"/>
  <c r="H82" i="2"/>
  <c r="D82" i="2"/>
  <c r="F82" i="2" s="1"/>
  <c r="S80" i="2"/>
  <c r="R79" i="2"/>
  <c r="D80" i="2"/>
  <c r="F80" i="2" s="1"/>
  <c r="G80" i="2" s="1"/>
  <c r="D79" i="2"/>
  <c r="F79" i="2" s="1"/>
  <c r="G79" i="2" s="1"/>
  <c r="R77" i="2"/>
  <c r="T77" i="2" s="1"/>
  <c r="U77" i="2"/>
  <c r="H77" i="2"/>
  <c r="D77" i="2"/>
  <c r="F77" i="2" s="1"/>
  <c r="S76" i="2"/>
  <c r="R75" i="2"/>
  <c r="U73" i="2"/>
  <c r="R73" i="2"/>
  <c r="T73" i="2" s="1"/>
  <c r="H73" i="2"/>
  <c r="D73" i="2"/>
  <c r="F73" i="2" s="1"/>
  <c r="S72" i="2"/>
  <c r="U72" i="2" s="1"/>
  <c r="B174" i="2"/>
  <c r="A174" i="2"/>
  <c r="S68" i="2"/>
  <c r="S71" i="2"/>
  <c r="U71" i="2" s="1"/>
  <c r="S70" i="2"/>
  <c r="U70" i="2" s="1"/>
  <c r="T70" i="2"/>
  <c r="H70" i="2"/>
  <c r="D70" i="2"/>
  <c r="F70" i="2" s="1"/>
  <c r="T71" i="2"/>
  <c r="H71" i="2"/>
  <c r="D71" i="2"/>
  <c r="F71" i="2" s="1"/>
  <c r="R69" i="2"/>
  <c r="S67" i="2"/>
  <c r="U67" i="2" s="1"/>
  <c r="T67" i="2"/>
  <c r="H67" i="2"/>
  <c r="D67" i="2"/>
  <c r="F67" i="2" s="1"/>
  <c r="S66" i="2"/>
  <c r="U66" i="2" s="1"/>
  <c r="T66" i="2"/>
  <c r="H66" i="2"/>
  <c r="D66" i="2"/>
  <c r="F66" i="2" s="1"/>
  <c r="S65" i="2"/>
  <c r="S64" i="2"/>
  <c r="S63" i="2"/>
  <c r="R62" i="2"/>
  <c r="S61" i="2"/>
  <c r="D61" i="2"/>
  <c r="F61" i="2" s="1"/>
  <c r="G61" i="2" s="1"/>
  <c r="S60" i="2"/>
  <c r="R59" i="2"/>
  <c r="H58" i="2"/>
  <c r="D58" i="2"/>
  <c r="F58" i="2" s="1"/>
  <c r="S55" i="2"/>
  <c r="S53" i="2"/>
  <c r="U53" i="2" s="1"/>
  <c r="T53" i="2"/>
  <c r="H53" i="2"/>
  <c r="D53" i="2"/>
  <c r="F53" i="2" s="1"/>
  <c r="S52" i="2"/>
  <c r="S51" i="2"/>
  <c r="S50" i="2"/>
  <c r="D51" i="2"/>
  <c r="F51" i="2" s="1"/>
  <c r="G51" i="2" s="1"/>
  <c r="D50" i="2"/>
  <c r="F50" i="2" s="1"/>
  <c r="G50" i="2" s="1"/>
  <c r="D52" i="2"/>
  <c r="F52" i="2" s="1"/>
  <c r="S49" i="2"/>
  <c r="R48" i="2"/>
  <c r="D48" i="2"/>
  <c r="F48" i="2" s="1"/>
  <c r="G48" i="2" s="1"/>
  <c r="S47" i="2"/>
  <c r="S46" i="2"/>
  <c r="D46" i="2"/>
  <c r="F46" i="2" s="1"/>
  <c r="G46" i="2" s="1"/>
  <c r="H46" i="2" s="1"/>
  <c r="S44" i="2"/>
  <c r="U44" i="2" s="1"/>
  <c r="T44" i="2"/>
  <c r="D44" i="2"/>
  <c r="F44" i="2" s="1"/>
  <c r="S43" i="2"/>
  <c r="D42" i="2"/>
  <c r="F42" i="2" s="1"/>
  <c r="G42" i="2" s="1"/>
  <c r="S41" i="2"/>
  <c r="S40" i="2"/>
  <c r="U40" i="2" s="1"/>
  <c r="S39" i="2"/>
  <c r="T40" i="2"/>
  <c r="D40" i="2"/>
  <c r="F40" i="2" s="1"/>
  <c r="S38" i="2"/>
  <c r="U38" i="2" s="1"/>
  <c r="T38" i="2"/>
  <c r="D38" i="2"/>
  <c r="H38" i="2" s="1"/>
  <c r="S37" i="2"/>
  <c r="R36" i="2"/>
  <c r="T36" i="2" s="1"/>
  <c r="U36" i="2"/>
  <c r="D36" i="2"/>
  <c r="H36" i="2" s="1"/>
  <c r="S35" i="2"/>
  <c r="O35" i="2"/>
  <c r="S34" i="2"/>
  <c r="T34" i="2"/>
  <c r="N34" i="2"/>
  <c r="R33" i="2"/>
  <c r="O32" i="2"/>
  <c r="N31" i="2"/>
  <c r="S28" i="2"/>
  <c r="U28" i="2" s="1"/>
  <c r="O28" i="2"/>
  <c r="S29" i="2"/>
  <c r="U29" i="2" s="1"/>
  <c r="O29" i="2"/>
  <c r="T29" i="2"/>
  <c r="D29" i="2"/>
  <c r="H29" i="2" s="1"/>
  <c r="T28" i="2"/>
  <c r="D28" i="2"/>
  <c r="H28" i="2" s="1"/>
  <c r="O30" i="2"/>
  <c r="R27" i="2"/>
  <c r="S26" i="2"/>
  <c r="U26" i="2" s="1"/>
  <c r="S25" i="2"/>
  <c r="U25" i="2" s="1"/>
  <c r="T26" i="2"/>
  <c r="D26" i="2"/>
  <c r="H26" i="2" s="1"/>
  <c r="T25" i="2"/>
  <c r="D25" i="2"/>
  <c r="H25" i="2" s="1"/>
  <c r="H110" i="2"/>
  <c r="H111" i="2"/>
  <c r="R24" i="2"/>
  <c r="T23" i="2"/>
  <c r="S23" i="2"/>
  <c r="U23" i="2" s="1"/>
  <c r="D23" i="2"/>
  <c r="F23" i="2" s="1"/>
  <c r="U21" i="2"/>
  <c r="T21" i="2"/>
  <c r="D21" i="2"/>
  <c r="F21" i="2" s="1"/>
  <c r="U19" i="2"/>
  <c r="R19" i="2"/>
  <c r="T19" i="2" s="1"/>
  <c r="D19" i="2"/>
  <c r="F19" i="2" s="1"/>
  <c r="N20" i="2"/>
  <c r="U14" i="2"/>
  <c r="T14" i="2"/>
  <c r="D14" i="2"/>
  <c r="F14" i="2" s="1"/>
  <c r="T13" i="2"/>
  <c r="S13" i="2"/>
  <c r="U13" i="2" s="1"/>
  <c r="O13" i="2"/>
  <c r="D13" i="2"/>
  <c r="F13" i="2" s="1"/>
  <c r="O12" i="2"/>
  <c r="D12" i="2"/>
  <c r="F12" i="2" s="1"/>
  <c r="R11" i="2"/>
  <c r="O11" i="2"/>
  <c r="S10" i="2"/>
  <c r="U10" i="2" s="1"/>
  <c r="U8" i="2"/>
  <c r="U9" i="2"/>
  <c r="T8" i="2"/>
  <c r="T9" i="2"/>
  <c r="T10" i="2"/>
  <c r="D10" i="2"/>
  <c r="F10" i="2" s="1"/>
  <c r="D9" i="2"/>
  <c r="F9" i="2" s="1"/>
  <c r="S7" i="2"/>
  <c r="U7" i="2" s="1"/>
  <c r="T7" i="2"/>
  <c r="D7" i="2"/>
  <c r="F7" i="2" s="1"/>
  <c r="N6" i="2"/>
  <c r="S5" i="2"/>
  <c r="U3" i="2"/>
  <c r="T3" i="2"/>
  <c r="D3" i="2"/>
  <c r="F3" i="2" s="1"/>
  <c r="U2" i="2"/>
  <c r="T2" i="2"/>
  <c r="T4" i="2"/>
  <c r="D2" i="2"/>
  <c r="F2" i="2" s="1"/>
  <c r="U4" i="2"/>
  <c r="S110" i="2"/>
  <c r="U110" i="2" s="1"/>
  <c r="T110" i="2"/>
  <c r="D110" i="2"/>
  <c r="F110" i="2" s="1"/>
  <c r="T111" i="2"/>
  <c r="S111" i="2"/>
  <c r="U111" i="2" s="1"/>
  <c r="N111" i="2"/>
  <c r="R136" i="2"/>
  <c r="S136" i="2" s="1"/>
  <c r="R135" i="2"/>
  <c r="S135" i="2" s="1"/>
  <c r="D135" i="2"/>
  <c r="H135" i="2" s="1"/>
  <c r="U16" i="2"/>
  <c r="U17" i="2"/>
  <c r="T16" i="2"/>
  <c r="T17" i="2"/>
  <c r="T18" i="2"/>
  <c r="H17" i="2"/>
  <c r="H18" i="2"/>
  <c r="H16" i="2"/>
  <c r="D16" i="2"/>
  <c r="F16" i="2" s="1"/>
  <c r="D17" i="2"/>
  <c r="F17" i="2" s="1"/>
  <c r="U18" i="2"/>
  <c r="D5" i="2"/>
  <c r="F5" i="2" s="1"/>
  <c r="D6" i="2"/>
  <c r="F6" i="2" s="1"/>
  <c r="D8" i="2"/>
  <c r="F8" i="2" s="1"/>
  <c r="D11" i="2"/>
  <c r="F11" i="2" s="1"/>
  <c r="D15" i="2"/>
  <c r="F15" i="2" s="1"/>
  <c r="D18" i="2"/>
  <c r="F18" i="2" s="1"/>
  <c r="D20" i="2"/>
  <c r="F20" i="2" s="1"/>
  <c r="D22" i="2"/>
  <c r="F22" i="2" s="1"/>
  <c r="D24" i="2"/>
  <c r="F24" i="2" s="1"/>
  <c r="D27" i="2"/>
  <c r="F27" i="2" s="1"/>
  <c r="D30" i="2"/>
  <c r="F30" i="2" s="1"/>
  <c r="D31" i="2"/>
  <c r="F31" i="2" s="1"/>
  <c r="D32" i="2"/>
  <c r="F32" i="2" s="1"/>
  <c r="D33" i="2"/>
  <c r="F33" i="2" s="1"/>
  <c r="D34" i="2"/>
  <c r="F34" i="2" s="1"/>
  <c r="D35" i="2"/>
  <c r="F35" i="2" s="1"/>
  <c r="D37" i="2"/>
  <c r="F37" i="2" s="1"/>
  <c r="D39" i="2"/>
  <c r="F39" i="2" s="1"/>
  <c r="D41" i="2"/>
  <c r="F41" i="2" s="1"/>
  <c r="G41" i="2" s="1"/>
  <c r="H41" i="2" s="1"/>
  <c r="D43" i="2"/>
  <c r="F43" i="2" s="1"/>
  <c r="D45" i="2"/>
  <c r="F45" i="2" s="1"/>
  <c r="D47" i="2"/>
  <c r="F47" i="2" s="1"/>
  <c r="D49" i="2"/>
  <c r="F49" i="2" s="1"/>
  <c r="G49" i="2" s="1"/>
  <c r="D54" i="2"/>
  <c r="F54" i="2" s="1"/>
  <c r="D55" i="2"/>
  <c r="F55" i="2" s="1"/>
  <c r="D56" i="2"/>
  <c r="F56" i="2" s="1"/>
  <c r="D57" i="2"/>
  <c r="F57" i="2" s="1"/>
  <c r="D59" i="2"/>
  <c r="F59" i="2" s="1"/>
  <c r="G59" i="2" s="1"/>
  <c r="H59" i="2" s="1"/>
  <c r="D60" i="2"/>
  <c r="F60" i="2" s="1"/>
  <c r="G60" i="2" s="1"/>
  <c r="H60" i="2" s="1"/>
  <c r="D62" i="2"/>
  <c r="F62" i="2" s="1"/>
  <c r="G62" i="2" s="1"/>
  <c r="H62" i="2" s="1"/>
  <c r="D63" i="2"/>
  <c r="F63" i="2" s="1"/>
  <c r="G63" i="2" s="1"/>
  <c r="H63" i="2" s="1"/>
  <c r="D64" i="2"/>
  <c r="F64" i="2" s="1"/>
  <c r="D65" i="2"/>
  <c r="F65" i="2" s="1"/>
  <c r="D68" i="2"/>
  <c r="F68" i="2" s="1"/>
  <c r="D69" i="2"/>
  <c r="F69" i="2" s="1"/>
  <c r="H69" i="2" s="1"/>
  <c r="D72" i="2"/>
  <c r="F72" i="2" s="1"/>
  <c r="D74" i="2"/>
  <c r="F74" i="2" s="1"/>
  <c r="D75" i="2"/>
  <c r="F75" i="2" s="1"/>
  <c r="D76" i="2"/>
  <c r="F76" i="2" s="1"/>
  <c r="D78" i="2"/>
  <c r="F78" i="2" s="1"/>
  <c r="D81" i="2"/>
  <c r="F81" i="2" s="1"/>
  <c r="H81" i="2" s="1"/>
  <c r="D83" i="2"/>
  <c r="F83" i="2" s="1"/>
  <c r="G83" i="2" s="1"/>
  <c r="H83" i="2" s="1"/>
  <c r="D86" i="2"/>
  <c r="F86" i="2" s="1"/>
  <c r="G86" i="2" s="1"/>
  <c r="H86" i="2" s="1"/>
  <c r="D88" i="2"/>
  <c r="F88" i="2" s="1"/>
  <c r="G88" i="2" s="1"/>
  <c r="H88" i="2" s="1"/>
  <c r="D89" i="2"/>
  <c r="F89" i="2" s="1"/>
  <c r="D91" i="2"/>
  <c r="F91" i="2" s="1"/>
  <c r="D92" i="2"/>
  <c r="F92" i="2" s="1"/>
  <c r="D93" i="2"/>
  <c r="F93" i="2" s="1"/>
  <c r="D95" i="2"/>
  <c r="F95" i="2" s="1"/>
  <c r="G95" i="2" s="1"/>
  <c r="H95" i="2" s="1"/>
  <c r="D97" i="2"/>
  <c r="F97" i="2" s="1"/>
  <c r="D99" i="2"/>
  <c r="F99" i="2" s="1"/>
  <c r="D101" i="2"/>
  <c r="F101" i="2" s="1"/>
  <c r="G101" i="2" s="1"/>
  <c r="H101" i="2" s="1"/>
  <c r="D102" i="2"/>
  <c r="F102" i="2" s="1"/>
  <c r="G102" i="2" s="1"/>
  <c r="H102" i="2" s="1"/>
  <c r="D103" i="2"/>
  <c r="F103" i="2" s="1"/>
  <c r="G103" i="2" s="1"/>
  <c r="H103" i="2" s="1"/>
  <c r="D104" i="2"/>
  <c r="F104" i="2" s="1"/>
  <c r="H104" i="2" s="1"/>
  <c r="D106" i="2"/>
  <c r="F106" i="2" s="1"/>
  <c r="H106" i="2" s="1"/>
  <c r="D107" i="2"/>
  <c r="F107" i="2" s="1"/>
  <c r="H107" i="2" s="1"/>
  <c r="D111" i="2"/>
  <c r="F111" i="2" s="1"/>
  <c r="D112" i="2"/>
  <c r="F112" i="2" s="1"/>
  <c r="D115" i="2"/>
  <c r="F115" i="2" s="1"/>
  <c r="H115" i="2" s="1"/>
  <c r="D116" i="2"/>
  <c r="F116" i="2" s="1"/>
  <c r="H116" i="2" s="1"/>
  <c r="D119" i="2"/>
  <c r="F119" i="2" s="1"/>
  <c r="H119" i="2" s="1"/>
  <c r="D121" i="2"/>
  <c r="F121" i="2" s="1"/>
  <c r="H121" i="2" s="1"/>
  <c r="D124" i="2"/>
  <c r="F124" i="2" s="1"/>
  <c r="D125" i="2"/>
  <c r="F125" i="2" s="1"/>
  <c r="H125" i="2" s="1"/>
  <c r="D127" i="2"/>
  <c r="F127" i="2" s="1"/>
  <c r="H127" i="2" s="1"/>
  <c r="D130" i="2"/>
  <c r="F130" i="2" s="1"/>
  <c r="H130" i="2" s="1"/>
  <c r="D131" i="2"/>
  <c r="F131" i="2" s="1"/>
  <c r="H131" i="2" s="1"/>
  <c r="D133" i="2"/>
  <c r="F133" i="2" s="1"/>
  <c r="H133" i="2" s="1"/>
  <c r="D136" i="2"/>
  <c r="F136" i="2" s="1"/>
  <c r="D137" i="2"/>
  <c r="F137" i="2" s="1"/>
  <c r="D140" i="2"/>
  <c r="F140" i="2" s="1"/>
  <c r="H140" i="2" s="1"/>
  <c r="D144" i="2"/>
  <c r="F144" i="2" s="1"/>
  <c r="H144" i="2" s="1"/>
  <c r="D147" i="2"/>
  <c r="F147" i="2" s="1"/>
  <c r="H147" i="2" s="1"/>
  <c r="D148" i="2"/>
  <c r="F148" i="2" s="1"/>
  <c r="G148" i="2" s="1"/>
  <c r="H148" i="2" s="1"/>
  <c r="D149" i="2"/>
  <c r="F149" i="2" s="1"/>
  <c r="G149" i="2" s="1"/>
  <c r="H149" i="2" s="1"/>
  <c r="D150" i="2"/>
  <c r="F150" i="2" s="1"/>
  <c r="G150" i="2" s="1"/>
  <c r="H150" i="2" s="1"/>
  <c r="D151" i="2"/>
  <c r="F151" i="2" s="1"/>
  <c r="G151" i="2" s="1"/>
  <c r="H151" i="2" s="1"/>
  <c r="D152" i="2"/>
  <c r="F152" i="2" s="1"/>
  <c r="G152" i="2" s="1"/>
  <c r="H152" i="2" s="1"/>
  <c r="D153" i="2"/>
  <c r="F153" i="2" s="1"/>
  <c r="G153" i="2" s="1"/>
  <c r="H153" i="2" s="1"/>
  <c r="D154" i="2"/>
  <c r="F154" i="2" s="1"/>
  <c r="G154" i="2" s="1"/>
  <c r="H154" i="2" s="1"/>
  <c r="D155" i="2"/>
  <c r="F155" i="2" s="1"/>
  <c r="G155" i="2" s="1"/>
  <c r="H155" i="2" s="1"/>
  <c r="D156" i="2"/>
  <c r="F156" i="2" s="1"/>
  <c r="G156" i="2" s="1"/>
  <c r="H156" i="2" s="1"/>
  <c r="D157" i="2"/>
  <c r="F157" i="2" s="1"/>
  <c r="G157" i="2" s="1"/>
  <c r="H157" i="2" s="1"/>
  <c r="D158" i="2"/>
  <c r="F158" i="2" s="1"/>
  <c r="G158" i="2" s="1"/>
  <c r="H158" i="2" s="1"/>
  <c r="D159" i="2"/>
  <c r="F159" i="2" s="1"/>
  <c r="G159" i="2" s="1"/>
  <c r="H159" i="2" s="1"/>
  <c r="D160" i="2"/>
  <c r="F160" i="2" s="1"/>
  <c r="G160" i="2" s="1"/>
  <c r="H160" i="2" s="1"/>
  <c r="D161" i="2"/>
  <c r="F161" i="2" s="1"/>
  <c r="G161" i="2" s="1"/>
  <c r="H161" i="2" s="1"/>
  <c r="D162" i="2"/>
  <c r="F162" i="2" s="1"/>
  <c r="G162" i="2" s="1"/>
  <c r="H162" i="2" s="1"/>
  <c r="D163" i="2"/>
  <c r="F163" i="2" s="1"/>
  <c r="G163" i="2" s="1"/>
  <c r="H163" i="2" s="1"/>
  <c r="D164" i="2"/>
  <c r="F164" i="2" s="1"/>
  <c r="G164" i="2" s="1"/>
  <c r="H164" i="2" s="1"/>
  <c r="D165" i="2"/>
  <c r="F165" i="2" s="1"/>
  <c r="G165" i="2" s="1"/>
  <c r="H165" i="2" s="1"/>
  <c r="D166" i="2"/>
  <c r="F166" i="2" s="1"/>
  <c r="G166" i="2" s="1"/>
  <c r="H166" i="2" s="1"/>
  <c r="D167" i="2"/>
  <c r="F167" i="2" s="1"/>
  <c r="G167" i="2" s="1"/>
  <c r="H167" i="2" s="1"/>
  <c r="D168" i="2"/>
  <c r="F168" i="2" s="1"/>
  <c r="G168" i="2" s="1"/>
  <c r="H168" i="2" s="1"/>
  <c r="D4" i="2"/>
  <c r="F4" i="2" s="1"/>
  <c r="C101" i="1"/>
  <c r="B101" i="1"/>
  <c r="E100" i="1"/>
  <c r="E101" i="1" s="1"/>
  <c r="C100" i="1"/>
  <c r="B100" i="1"/>
  <c r="D101" i="1"/>
  <c r="T156" i="2" l="1"/>
  <c r="T166" i="2"/>
  <c r="T155" i="2"/>
  <c r="U156" i="2"/>
  <c r="U152" i="2"/>
  <c r="U153" i="2"/>
  <c r="U167" i="2"/>
  <c r="U166" i="2"/>
  <c r="U157" i="2"/>
  <c r="T165" i="2"/>
  <c r="T152" i="2"/>
  <c r="T151" i="2"/>
  <c r="T168" i="2"/>
  <c r="T154" i="2"/>
  <c r="U155" i="2"/>
  <c r="T167" i="2"/>
  <c r="T153" i="2"/>
  <c r="U168" i="2"/>
  <c r="U154" i="2"/>
  <c r="T164" i="2"/>
  <c r="T150" i="2"/>
  <c r="U165" i="2"/>
  <c r="U151" i="2"/>
  <c r="T163" i="2"/>
  <c r="T149" i="2"/>
  <c r="U164" i="2"/>
  <c r="U150" i="2"/>
  <c r="T162" i="2"/>
  <c r="T148" i="2"/>
  <c r="U163" i="2"/>
  <c r="U149" i="2"/>
  <c r="T161" i="2"/>
  <c r="T147" i="2"/>
  <c r="U162" i="2"/>
  <c r="U148" i="2"/>
  <c r="T160" i="2"/>
  <c r="T144" i="2"/>
  <c r="U161" i="2"/>
  <c r="U147" i="2"/>
  <c r="T159" i="2"/>
  <c r="U160" i="2"/>
  <c r="U144" i="2"/>
  <c r="T158" i="2"/>
  <c r="U159" i="2"/>
  <c r="T157" i="2"/>
  <c r="U158" i="2"/>
  <c r="C174" i="2"/>
  <c r="X175" i="2"/>
  <c r="U123" i="2"/>
  <c r="T123" i="2"/>
  <c r="H123" i="2"/>
  <c r="U122" i="2"/>
  <c r="T122" i="2"/>
  <c r="H122" i="2"/>
  <c r="T115" i="2"/>
  <c r="U94" i="2"/>
  <c r="T96" i="2"/>
  <c r="H96" i="2"/>
  <c r="U96" i="2"/>
  <c r="T94" i="2"/>
  <c r="H87" i="2"/>
  <c r="T87" i="2"/>
  <c r="U87" i="2"/>
  <c r="U85" i="2"/>
  <c r="T85" i="2"/>
  <c r="H85" i="2"/>
  <c r="U84" i="2"/>
  <c r="T84" i="2"/>
  <c r="H84" i="2"/>
  <c r="U80" i="2"/>
  <c r="T80" i="2"/>
  <c r="H80" i="2"/>
  <c r="U79" i="2"/>
  <c r="T79" i="2"/>
  <c r="H79" i="2"/>
  <c r="R72" i="2"/>
  <c r="T72" i="2" s="1"/>
  <c r="H61" i="2"/>
  <c r="T61" i="2"/>
  <c r="U61" i="2"/>
  <c r="H51" i="2"/>
  <c r="T51" i="2"/>
  <c r="U51" i="2"/>
  <c r="T50" i="2"/>
  <c r="H50" i="2"/>
  <c r="U50" i="2"/>
  <c r="U52" i="2"/>
  <c r="T52" i="2"/>
  <c r="H52" i="2"/>
  <c r="H48" i="2"/>
  <c r="T48" i="2"/>
  <c r="U48" i="2"/>
  <c r="T46" i="2"/>
  <c r="U46" i="2"/>
  <c r="T42" i="2"/>
  <c r="H42" i="2"/>
  <c r="U42" i="2"/>
  <c r="G91" i="2"/>
  <c r="H91" i="2" s="1"/>
  <c r="G64" i="2"/>
  <c r="H64" i="2" s="1"/>
  <c r="G45" i="2"/>
  <c r="H37" i="2"/>
  <c r="F38" i="2"/>
  <c r="G74" i="2"/>
  <c r="H74" i="2" s="1"/>
  <c r="H97" i="2"/>
  <c r="H72" i="2"/>
  <c r="H54" i="2"/>
  <c r="G55" i="2"/>
  <c r="H55" i="2" s="1"/>
  <c r="G93" i="2"/>
  <c r="H93" i="2" s="1"/>
  <c r="G68" i="2"/>
  <c r="H68" i="2" s="1"/>
  <c r="H49" i="2"/>
  <c r="G78" i="2"/>
  <c r="H78" i="2" s="1"/>
  <c r="G75" i="2"/>
  <c r="G92" i="2"/>
  <c r="H65" i="2"/>
  <c r="G47" i="2"/>
  <c r="F36" i="2"/>
  <c r="H35" i="2"/>
  <c r="H32" i="2"/>
  <c r="H30" i="2"/>
  <c r="F29" i="2"/>
  <c r="F28" i="2"/>
  <c r="F26" i="2"/>
  <c r="F25" i="2"/>
  <c r="H27" i="2"/>
  <c r="U39" i="2"/>
  <c r="U62" i="2"/>
  <c r="U60" i="2"/>
  <c r="T86" i="2"/>
  <c r="T81" i="2"/>
  <c r="T60" i="2"/>
  <c r="T59" i="2"/>
  <c r="T15" i="2"/>
  <c r="T11" i="2"/>
  <c r="T6" i="2"/>
  <c r="T39" i="2"/>
  <c r="T35" i="2"/>
  <c r="U107" i="2"/>
  <c r="U95" i="2"/>
  <c r="U115" i="2"/>
  <c r="T125" i="2"/>
  <c r="U41" i="2"/>
  <c r="T5" i="2"/>
  <c r="T24" i="2"/>
  <c r="U133" i="2"/>
  <c r="U32" i="2"/>
  <c r="U15" i="2"/>
  <c r="T131" i="2"/>
  <c r="U11" i="2"/>
  <c r="U131" i="2"/>
  <c r="U127" i="2"/>
  <c r="U27" i="2"/>
  <c r="H136" i="2"/>
  <c r="T104" i="2"/>
  <c r="U125" i="2"/>
  <c r="U69" i="2"/>
  <c r="U6" i="2"/>
  <c r="U86" i="2"/>
  <c r="T107" i="2"/>
  <c r="U24" i="2"/>
  <c r="U5" i="2"/>
  <c r="T112" i="2"/>
  <c r="T63" i="2"/>
  <c r="T43" i="2"/>
  <c r="T22" i="2"/>
  <c r="U31" i="2"/>
  <c r="T127" i="2"/>
  <c r="T62" i="2"/>
  <c r="T41" i="2"/>
  <c r="U30" i="2"/>
  <c r="T124" i="2"/>
  <c r="T106" i="2"/>
  <c r="T83" i="2"/>
  <c r="T37" i="2"/>
  <c r="U112" i="2"/>
  <c r="U63" i="2"/>
  <c r="U43" i="2"/>
  <c r="U22" i="2"/>
  <c r="T119" i="2"/>
  <c r="T103" i="2"/>
  <c r="T116" i="2"/>
  <c r="T101" i="2"/>
  <c r="U124" i="2"/>
  <c r="U106" i="2"/>
  <c r="U83" i="2"/>
  <c r="U37" i="2"/>
  <c r="U104" i="2"/>
  <c r="U81" i="2"/>
  <c r="U59" i="2"/>
  <c r="U35" i="2"/>
  <c r="T32" i="2"/>
  <c r="U119" i="2"/>
  <c r="U103" i="2"/>
  <c r="U34" i="2"/>
  <c r="T95" i="2"/>
  <c r="T69" i="2"/>
  <c r="T31" i="2"/>
  <c r="U116" i="2"/>
  <c r="U33" i="2"/>
  <c r="T30" i="2"/>
  <c r="U101" i="2"/>
  <c r="T33" i="2"/>
  <c r="T133" i="2"/>
  <c r="T27" i="2"/>
  <c r="F135" i="2"/>
  <c r="T91" i="2" l="1"/>
  <c r="U55" i="2"/>
  <c r="T68" i="2"/>
  <c r="T64" i="2"/>
  <c r="T49" i="2"/>
  <c r="U91" i="2"/>
  <c r="U78" i="2"/>
  <c r="U75" i="2"/>
  <c r="H75" i="2"/>
  <c r="T89" i="2"/>
  <c r="H89" i="2"/>
  <c r="U57" i="2"/>
  <c r="H57" i="2"/>
  <c r="T56" i="2"/>
  <c r="H56" i="2"/>
  <c r="T92" i="2"/>
  <c r="H92" i="2"/>
  <c r="H45" i="2"/>
  <c r="U47" i="2"/>
  <c r="H47" i="2"/>
  <c r="T99" i="2"/>
  <c r="H99" i="2"/>
  <c r="U49" i="2"/>
  <c r="U64" i="2"/>
  <c r="U76" i="2"/>
  <c r="H76" i="2"/>
  <c r="T47" i="2"/>
  <c r="T65" i="2"/>
  <c r="U68" i="2"/>
  <c r="U97" i="2"/>
  <c r="U54" i="2"/>
  <c r="T75" i="2"/>
  <c r="U92" i="2"/>
  <c r="U89" i="2"/>
  <c r="T97" i="2"/>
  <c r="T54" i="2"/>
  <c r="T57" i="2"/>
  <c r="T78" i="2"/>
  <c r="U99" i="2"/>
  <c r="T55" i="2"/>
  <c r="T76" i="2"/>
  <c r="U56" i="2"/>
  <c r="U65" i="2"/>
</calcChain>
</file>

<file path=xl/sharedStrings.xml><?xml version="1.0" encoding="utf-8"?>
<sst xmlns="http://schemas.openxmlformats.org/spreadsheetml/2006/main" count="1842" uniqueCount="589">
  <si>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</si>
  <si>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</si>
  <si>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</si>
  <si>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</si>
  <si>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</si>
  <si>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</si>
  <si>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</si>
  <si>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</si>
  <si>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</si>
  <si>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</si>
  <si>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</si>
  <si>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</si>
  <si>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</si>
  <si>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</si>
  <si>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</si>
  <si>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</si>
  <si>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</si>
  <si>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</si>
  <si>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</si>
  <si>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</si>
  <si>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</si>
  <si>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</si>
  <si>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</si>
  <si>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</si>
  <si>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</si>
  <si>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</si>
  <si>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</si>
  <si>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</si>
  <si>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</si>
  <si>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</si>
  <si>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</si>
  <si>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</si>
  <si>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</si>
  <si>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</si>
  <si>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</si>
  <si>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</si>
  <si>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</si>
  <si>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</si>
  <si>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</si>
  <si>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</si>
  <si>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</si>
  <si>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</si>
  <si>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</si>
  <si>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</si>
  <si>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</si>
  <si>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</si>
  <si>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</si>
  <si>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</si>
  <si>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</si>
  <si>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</si>
  <si>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</si>
  <si>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</si>
  <si>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</si>
  <si>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</si>
  <si>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</si>
  <si>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</si>
  <si>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</si>
  <si>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</si>
  <si>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</si>
  <si>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</si>
  <si>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</si>
  <si>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</si>
  <si>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</si>
  <si>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</si>
  <si>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</si>
  <si>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</si>
  <si>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</si>
  <si>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</si>
  <si>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</si>
  <si>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</si>
  <si>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</si>
  <si>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</si>
  <si>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</si>
  <si>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</si>
  <si>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</si>
  <si>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</si>
  <si>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</si>
  <si>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</si>
  <si>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</si>
  <si>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</si>
  <si>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</si>
  <si>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</si>
  <si>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</si>
  <si>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</si>
  <si>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</si>
  <si>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</si>
  <si>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</si>
  <si>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</si>
  <si>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</si>
  <si>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</si>
  <si>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</si>
  <si>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</si>
  <si>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</si>
  <si>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</si>
  <si>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</si>
  <si>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</si>
  <si>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</si>
  <si>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</si>
  <si>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</si>
  <si>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</si>
  <si>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</si>
  <si>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</si>
  <si>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</si>
  <si>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</si>
  <si>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</si>
  <si>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</si>
  <si>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</si>
  <si>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</si>
  <si>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</si>
  <si>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</si>
  <si>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</si>
  <si>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</si>
  <si>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</si>
  <si>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</si>
  <si>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</si>
  <si>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</si>
  <si>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</si>
  <si>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</si>
  <si>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</si>
  <si>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WaaA-coaD</t>
  </si>
  <si>
    <t>tff-rpsB-tsf</t>
  </si>
  <si>
    <t>dicA</t>
  </si>
  <si>
    <t>dicB</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</si>
  <si>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</si>
  <si>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</si>
  <si>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</si>
  <si>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</si>
  <si>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</si>
  <si>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</si>
  <si>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</si>
  <si>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</si>
  <si>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</si>
  <si>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</si>
  <si>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</si>
  <si>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</si>
  <si>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</si>
  <si>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</si>
  <si>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</si>
  <si>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</si>
  <si>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</si>
  <si>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</si>
  <si>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</si>
  <si>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</si>
  <si>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</si>
  <si>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</si>
  <si>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</si>
  <si>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</si>
  <si>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</si>
  <si>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</si>
  <si>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</si>
  <si>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</si>
  <si>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</si>
  <si>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</si>
  <si>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</si>
  <si>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</si>
  <si>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</si>
  <si>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</si>
  <si>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</si>
  <si>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</si>
  <si>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</si>
  <si>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</si>
  <si>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</si>
  <si>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</si>
  <si>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</si>
  <si>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</si>
  <si>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</si>
  <si>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</si>
  <si>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</si>
  <si>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</si>
  <si>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</si>
  <si>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</si>
  <si>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</si>
  <si>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</si>
  <si>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</si>
  <si>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</si>
  <si>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</si>
  <si>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</si>
  <si>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</si>
  <si>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</si>
  <si>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</si>
  <si>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</si>
  <si>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</si>
  <si>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</si>
  <si>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</si>
  <si>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</si>
  <si>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</si>
  <si>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</si>
  <si>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</si>
  <si>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</si>
  <si>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</si>
  <si>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</si>
  <si>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</si>
  <si>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</si>
  <si>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</si>
  <si>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</si>
  <si>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</si>
  <si>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</si>
  <si>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</si>
  <si>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</si>
  <si>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</si>
  <si>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</si>
  <si>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</si>
  <si>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</si>
  <si>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</si>
  <si>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</si>
  <si>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</si>
  <si>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</si>
  <si>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</si>
  <si>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</si>
  <si>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</si>
  <si>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</si>
  <si>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</si>
  <si>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</si>
  <si>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</si>
  <si>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</si>
  <si>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</si>
  <si>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</si>
  <si>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</si>
  <si>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</si>
  <si>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</si>
  <si>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</si>
  <si>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</si>
  <si>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</si>
  <si>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</si>
  <si>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</si>
  <si>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</si>
  <si>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</si>
  <si>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</si>
  <si>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</si>
  <si>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</si>
  <si>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</si>
  <si>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</si>
  <si>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</si>
  <si>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</si>
  <si>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</si>
  <si>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</si>
  <si>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</si>
  <si>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</si>
  <si>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</si>
  <si>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</si>
  <si>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</si>
  <si>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</si>
  <si>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</si>
  <si>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</si>
  <si>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</si>
  <si>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</si>
  <si>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</si>
  <si>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</si>
  <si>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</si>
  <si>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</si>
  <si>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</si>
  <si>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</si>
  <si>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</si>
  <si>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</si>
  <si>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</si>
  <si>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</si>
  <si>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</si>
  <si>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</si>
  <si>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</si>
  <si>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</si>
  <si>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</si>
  <si>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</si>
  <si>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</si>
  <si>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</si>
  <si>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</si>
  <si>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</si>
  <si>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</si>
  <si>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</si>
  <si>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</si>
  <si>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</si>
  <si>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</si>
  <si>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</si>
  <si>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</si>
  <si>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</si>
  <si>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</si>
  <si>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</si>
  <si>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</si>
  <si>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</si>
  <si>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</si>
  <si>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</si>
  <si>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</si>
  <si>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</si>
  <si>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</si>
  <si>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</si>
  <si>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</si>
  <si>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</si>
  <si>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</si>
  <si>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</si>
  <si>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</si>
  <si>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</si>
  <si>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</si>
  <si>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</si>
  <si>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</si>
  <si>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</si>
  <si>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</si>
  <si>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</si>
  <si>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</si>
  <si>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</si>
  <si>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</si>
  <si>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</si>
  <si>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</si>
  <si>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</si>
  <si>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</si>
  <si>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</si>
  <si>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</si>
  <si>
    <t>4,080,299 &lt;- 4,081,228</t>
  </si>
  <si>
    <t>gattcgcgttaatgctgcattcatttgccgcagtggcgttaattgtggttatcatggtgcAtatctacgccgccctttggg</t>
  </si>
  <si>
    <t>CGTGATTATCTGGCGTCCTTATTTTGCGCCTGCTTTCTCAATCCCGGTGATCCGATTCGCGTTAATGCTGCATTCATTTGCCGCAGTGGCGTTAATTGTGGTTATCATGGTGCATATCTACGCCGCCCTTTGGGTGAAAGGCACGATTACCGCCATGGTG</t>
  </si>
  <si>
    <t>ATATCTACGCCGCCCTTTGGGT</t>
  </si>
  <si>
    <t>TTGGGTGAAAGGCACGATTACCGCCA</t>
  </si>
  <si>
    <t>ATTCGCGTTAATGCTGCATTC</t>
  </si>
  <si>
    <t>ATTATCTGGCGTCCTTATTTTGCGCCTGCTTTCTCAATCCC</t>
  </si>
  <si>
    <t>205,126 -&gt; 208,608</t>
  </si>
  <si>
    <t>GGTGTGCCTGGCGTACGTCCGGTGGTTGGCGAAATAGCAGCCAATTCGATAGCTGCGGAAGCACAAATTGCACCAGGTACGGAACTAAAAGCCGTAGATGGTATCGAAACGCCTGATTGGGATGCCGTGCGTTTGCAGTTGGTCGATAAAATTGGCGATG</t>
  </si>
  <si>
    <t>CCTGGCGTACGTCCGGTGGTTGGCGAAATAG</t>
  </si>
  <si>
    <t>CAGCCAATTCGATAGCTGCGG</t>
  </si>
  <si>
    <t>GTGAACTTAGGGATAATTAACCTGTTTCCGTTGCCCGTACTTGACGGGGGGCATCTGCTGTTCCTTGCGATCGAAAAGATCAAGGGCGGACCGGTATCCGAGCGGGTTCAAGACTTTTGTTATCGCATTGGCTCGATTCTGCTGGTGCTGTTAATGGGGC</t>
  </si>
  <si>
    <t>CTTTTGTTATCGCATT</t>
  </si>
  <si>
    <t>atcgcaaagaaaaaaattctccggcgacgcggtttttaacaggtgttctatgcttgaaatGaggtgctccacacagagagc</t>
  </si>
  <si>
    <t>1,235,709 &lt;- 1,237,241</t>
  </si>
  <si>
    <t>TATCCAGCATAAAATTCCGTTCAGAAGCGGATTAGTGGCACTCTGATAATAAGAAATCGCAAAGAAAAAAATTCTCCGGCGACGCGGTTTTTAACAGGTGTTCTATGCTTGAAATGAGGTGCTCCACACAGAGAGCGCCGACAACAATGAGGTGCGCGTA</t>
  </si>
  <si>
    <t>GAGGTGCTCCACACAGAGAGC</t>
  </si>
  <si>
    <t>TCCGGCGACGCGGTTTTTAACAGGTGTTCTATGCTTGAAATG</t>
  </si>
  <si>
    <t>2,211,726 &lt;- 2,212,196</t>
  </si>
  <si>
    <t>CAGGAGATTCGTCTGGAAGATAACGGCCAGGCCGAGTTGATTTTGCGTAATGGCTTAACCGTGCCGGTCAGCCGCCGTTATCTGAAAAGCTTAAAAGAGGCGATTGGCCTGTAAAAGACTGCTAAAATGGCTTTTTGCCTCATCAACACCTGAAGGCCTC</t>
  </si>
  <si>
    <t>TGATTTTGCGTAATGGCTTA</t>
  </si>
  <si>
    <t>gaacaccttacgccctcaattttcactcgttgattgatcgccctcacacttcatcgcattAacaatccagaccaatttcaa</t>
  </si>
  <si>
    <t>2,266,245 -&gt; 2,267,711</t>
  </si>
  <si>
    <t>TCCTGAACACCTTACGCCCTCAATTTTCACTCGTTGATTGATCGCCCTCACACTTCATCGCATTAACAATCCAGACCAATTTCAATTGCTGTCATATAACTTTACACTGTCGTTGTTAATTAATCGTTACTAAGACGTGACTCCTATGAATACAATCGCC</t>
  </si>
  <si>
    <t>AACAATCCAGACCAATTTCAAT</t>
  </si>
  <si>
    <t>ATCGCCCTCACACTTCATCGCATTAA</t>
  </si>
  <si>
    <t>GTTAATTAATCGTTACTAAGACGTG</t>
  </si>
  <si>
    <t>4,120,416 &lt;- 4,121,747</t>
  </si>
  <si>
    <t>GTGAAAGGCAAAGAGAACGCAGACAGCACCCTCAATCGGTTGAAGATGGCGGGTCATACAAACTGCATTCGGCTCGCCGCCGGGGGTTGAAACCCTCAAAATCCCCCCCATCTATAATTGCATTATGCCCCGTACTTTTGTACGGGGTTTGTACTCTGTA</t>
  </si>
  <si>
    <t>AATTGCATTATGCCCCGTAC</t>
  </si>
  <si>
    <t>GTACAAAAGTACGGGGCATAATGC</t>
  </si>
  <si>
    <t>1,906,251 &lt;- 1,907,060</t>
  </si>
  <si>
    <t>tttatcttcgctcctggcgttcggatatttgcccgccgcgtgattcgcgttacacttgcgGcctttagtatcctgccggag</t>
  </si>
  <si>
    <t>AATACGCTTCAATCTCGCTATAAAGCCTCGTCGAATGCGAGGCTTTTTACTATGCTTTATCTTCGCTCCTGGCGTTCGGATATTTGCCCGCCGCGTGATTCGCGTTACACTTGCGGCCTTTAGTATCCTGCCGGAGTTGTCATGTCTTTTTCCTGTCCAC</t>
  </si>
  <si>
    <t>GCCTTTAGTATCCTGCCGGAGTTGTC</t>
  </si>
  <si>
    <t>ACACTTGCGGCCTTTAGTATC</t>
  </si>
  <si>
    <t>CTCCTGGCGTT</t>
  </si>
  <si>
    <t>793,856 &lt;- 794,644</t>
  </si>
  <si>
    <t>TATAGTCATGAGACTATTCTAACCGCTAAGCACAGAAAAGCACTCCCCTTTTGTGCGGTCAGCTTTGCGTGGCGTTCGTTTTCCGTCACAATAAGACTTTTGCCAGGACATTGTTATGCAGGCCGAAATCCTTCTCACCCTTAAGCTCCAACAAAAATTA</t>
  </si>
  <si>
    <t>GAGACTATTCTAACCGCT</t>
  </si>
  <si>
    <t>accgctttcaagattttcaagttgttgatatttcatagcgatctcaatgttaccgtgtaaCtctttacagaatatcagctt</t>
  </si>
  <si>
    <t>1,016,539 &lt;- 1,018,299</t>
  </si>
  <si>
    <t>CAGCTTTTTAGGCCAGTGAAGAAAAGAATCTCCATCCTGTGAGCTTTAACGCCCATGCCAGGAGTATTGTCGGTGCTTTCTACGTGTGCTGTAGTGCCGGTTACGGTATAATCGCGGCTTTGACAACAGACTAAAAAACATCAACTTTGACCATTACGAA</t>
  </si>
  <si>
    <t>CTCTTTACAGAATATCAGCTTTTTAGGCCAGTGAAG</t>
  </si>
  <si>
    <t>AGTGAAGAAAAGAA</t>
  </si>
  <si>
    <t>443,051 &lt;- 443,641</t>
  </si>
  <si>
    <t>tgccacagcggaaaatatctcgtcgatgttgcaggatatccgcgcgctgcgccacactgaAatcgactatatcaatggttt</t>
  </si>
  <si>
    <t>AAGGGCATCATACTTCAGCAGAAGATTTGCGTGATTACGTGATGCAGGTGATTGATGCCACAGCGGAAAATATCTCGTCGATGTTGCAGGATATCCGCGCGCTGCGCCACACTGAAATCGACTATATCAATGGTTTTCTCTTACGCCGCGCCCGCGCGCA</t>
  </si>
  <si>
    <t>AATCGACTATATCAATGGTTTTCTCTTAC</t>
  </si>
  <si>
    <t>TCTCTTACGCCGC</t>
  </si>
  <si>
    <t>1,951,395 -&gt; 1,952,213</t>
  </si>
  <si>
    <t>ACCGTAAGAGCCTGGCCCGCGCTGGAACGCCTCGTTACCACTTTATATCGGGCCTGAAATCAGACTCTACGCCAGTTTGCTATAAAGGTGTTGCCCGAACTCATAAAAATTAACAAAATTTGTCGTTCCGCCATCGGCTAATCGCATTAAGGTGTGAGGC</t>
  </si>
  <si>
    <t>ATTCTGCCGCACCGTAAGAGCCTGG</t>
  </si>
  <si>
    <t>TAAGAGCCTGGCC</t>
  </si>
  <si>
    <t>TTACCACTTTAT</t>
  </si>
  <si>
    <t>CAGACTCTACGCCAGTTTGCT</t>
  </si>
  <si>
    <t>851,014 &lt;- 852,597</t>
  </si>
  <si>
    <t>gcggacccctttccactcttcacgcactcttgcaggtattgacccttgacgccagggtaaGcacatggcgtttgttacgat</t>
  </si>
  <si>
    <t>GAACGGCGGCTCGCTCTATCTTCTTGCAGCCCTGCGTATATTGCGGCTCGCGGATGCGGACCCCTTTCCACTCTTCACGCACTCTTGCAGGTATTGACCCTTGACGCCAGGGTAAGCACATGGCGTTTGTTACGATAGTGGCATATGAATTTAACCCTCA</t>
  </si>
  <si>
    <t>tataggccaacgcaattcatatagccgttgatacctaatgtgattacactagtaaaatatAttgttactttactatcgttt</t>
  </si>
  <si>
    <t>888,134 &lt;- 889,819</t>
  </si>
  <si>
    <t>ACACATTTTTCGCCAGTGTGGCGTTCAGTAAGATAAAGCCGCTTCGCATTCCATGCTAATATAGGCCAACGCAATTCATATAGCCGTTGATACCTAATGTGATTACACTAGTAAAATATATTGTTACTTTACTATCGTTTAGGTGCGCTGAATGAATCTG</t>
  </si>
  <si>
    <t>CAGCGCACCTAAACGATAGTAAAGTAACAAT</t>
  </si>
  <si>
    <t>promoter x2</t>
  </si>
  <si>
    <t>ATTGTTACTTTACTATCGTTTAGGTG</t>
  </si>
  <si>
    <t>CTAATGTGATTACACTAG</t>
  </si>
  <si>
    <t>TCGCCAGTGTGGCGTTCAGTAAGATAAAGCC</t>
  </si>
  <si>
    <t>GCACATGGCGTTTGTTACGATAGTGG</t>
  </si>
  <si>
    <t>GATAGTGGCATATGAA</t>
  </si>
  <si>
    <t>2,926,308 -&gt; 2,927,672</t>
  </si>
  <si>
    <t>GATTTTGTCCCATCGACCACAAGACTGGTTCGGCAATAAATTTTTTCTCAATTTTGCGTGCTGGATTCACGCAGAAGGTTGTGAAAGGTCATCAGGCAGGGCTATTGTAATCAAAGGGAATGACGATATTCGTCCCATAAGGAGTTTTTCTTGATTACAC</t>
  </si>
  <si>
    <t>CATAAGGAGTTTT</t>
  </si>
  <si>
    <t>CATAAGGAGTTTTTCTT</t>
  </si>
  <si>
    <t>TTTCTTGATTACA</t>
  </si>
  <si>
    <t>2,868,893 &lt;- 2,869,519</t>
  </si>
  <si>
    <t>CGGTAGCAACTTGCAGGGGGCGCAGCGCTGGGCGCAAACCAATACTCCGGTGCGCGATCGCAATAAACGGAGTTTTTGGTTGTCGGCAGCCCGCAGTGCGTTGTTTAATCAGATTGTTGCTGAGCGCCTCAAAAAAGCAGACGTTAATCAAGTTGTTGAC</t>
  </si>
  <si>
    <t>CGGCGGAGCTGTTAAAGGCTGGTAATTTTTAGGCTGTTTCCACAATTTGTAATATCATTCAGGACGGGCGCTTGCCCGTCTTGTCATTTTTACAAGCTCCTGATTCAATATTGACGTTTTGATCATACATTGAGGAAATACTATGCGTGCTTTACCGATC</t>
  </si>
  <si>
    <t>219,591 &lt;- 219,995</t>
  </si>
  <si>
    <t>CTGTTTCCACAATTTGTAATATCATTCAGGACGGGCGCTTG</t>
  </si>
  <si>
    <t>2,082,756 -&gt; 2,084,183</t>
  </si>
  <si>
    <t>cactcgctgccaaattgtggcgctaaagctgattagcacggtgatatttgatactctggcAgacagcagaaataacggatt</t>
  </si>
  <si>
    <t>AAAGTGCAAGAAAATGTGACTACCCTCTCATTTTTATCTGACATGATCTGTTGCCACTCGCTGCCAAATTGTGGCGCTAAAGCTGATTAGCACGGTGATATTTGATACTCTGGCAGACAGCAGAAATAACGGATTTAACCTAATGATGAATGACGGTAAG</t>
  </si>
  <si>
    <t>AGACAGCAGAAATAACGGATTTAACCTAA</t>
  </si>
  <si>
    <t>GGCAGACAGCAGAAATAACGGATTTA</t>
  </si>
  <si>
    <t>CTACCCTCTCATTTTTAT</t>
  </si>
  <si>
    <t>tgggattattacgcatcaggatgggaaatagggtaaaaagtcaggaagttcgatacctctAcagcgaatattttgctgatg</t>
  </si>
  <si>
    <t>2,999,136 &lt;- 2,999,891</t>
  </si>
  <si>
    <t>AATATTTTGCTGATGATACTTCCCTTTGCCAAATGAAATTAACCTCTTTCTCTATTACCACGTTTTTCCAGAAGCAAGAGATTGGGTATCAAGAGGCTGGCTGCTATGATAAGGCGTCTTGTTTTTTAAGCGAGGAAAGATTTTGAGTGCGGGACGCCTG</t>
  </si>
  <si>
    <t>ACAGCGAATATTTTGCTGATGATACTTCCC</t>
  </si>
  <si>
    <t>AATATTTTGCTGATG</t>
  </si>
  <si>
    <t>CTCTTTCTCTATTACCACGTTTTTCC</t>
  </si>
  <si>
    <t>TAAGCGAGGAAAGATTTT</t>
  </si>
  <si>
    <t>ttcctggacattttcgtcgttgctattctggttcactgcgtcgtgatattcttgcggtttGactttttcaggtcgttcttc</t>
  </si>
  <si>
    <t>486,536 -&gt; 489,898</t>
  </si>
  <si>
    <t>CACGCTTCGTAATCCTGCCACTAACGAATAACCCTGAATCTGACTCCAGGATTTTTCCTGGACATTTTCGTCGTTGCTATTCTGGTTCACTGCGTCGTGATATTCTTGCGGTTTGACTTTTTCAGGTCGTTCTTCAGGTTCAGAAACCTTCATTCATCAT</t>
  </si>
  <si>
    <t>GACTTTTTCAGGTCGTTCTTCAGGTTCAG</t>
  </si>
  <si>
    <t>TTCAGGTTCAG</t>
  </si>
  <si>
    <t>tcagatgagaaatctgtgatctatttggcaaaattatgctttattgtttacccttgtcagActgcccgtcataaggcggcg</t>
  </si>
  <si>
    <t>3,068,947 &lt;- 3,069,807</t>
  </si>
  <si>
    <t>TGATATCTGTCTGAGCCCCGCTCTGCGGGGATTTTTTCGCCAAAAGCAAGGTGATTCAGATGAGAAATCTGTGATCTATTTGGCAAAATTATGCTTTATTGTTTACCCTTGTCAGACTGCCCGTCATAAGGCGGCGGAGTGTATTTCTCCATTTTGAGTC</t>
  </si>
  <si>
    <t>ACTGCCCGTCATAAGGCGGCGGAGTGT</t>
  </si>
  <si>
    <t>TTGTCAGACTGCCCGTCATAAGGCGGCGGAGTGTATTTCTC</t>
  </si>
  <si>
    <t>TTGGCAAAATTAT</t>
  </si>
  <si>
    <t>CTGCGGGGATTTTT</t>
  </si>
  <si>
    <t>TCGTTGCTATT</t>
  </si>
  <si>
    <t>ttgctacttccttccctgactattgatgatctgaatgaattgtcgcggtaaaatagccccGccaggggtttccggcatgac</t>
  </si>
  <si>
    <t>1,394,891 &lt;- 1,395,922</t>
  </si>
  <si>
    <t>AGATGACAAACATGATCTCATATCAGGGACTTGTTCGCACCTTCCTTAGCTAATGTTGCTACTTCCTTCCCTGACTATTGATGATCTGAATGAATTGTCGCGGTAAAATAGCCCCGCCAGGGGTTTCCGGCATGACGACAATTATCTGGAGGAGCCTGAT</t>
  </si>
  <si>
    <t>GCCAGGGGTTTCCGGCATGACGACAATTATCTGG</t>
  </si>
  <si>
    <t>GTTCGCACCTTCCTTAG</t>
  </si>
  <si>
    <t>AATTATCTGGA</t>
  </si>
  <si>
    <t>603,416 &lt;- 604,663</t>
  </si>
  <si>
    <t>CGCAAAACATCACCTTAACCGAAGTGTAATTCTCTCTTGCCGGGCATCTGCCCGGCTATTTCCTCTCAGATTCTCCTGATTTGCATAACCCTGTTTCAGCCGTCATCATAGGCTGCTGTTGTATAAAGGAGACGTTATGCAGGATTTAATATCCCAGGTT</t>
  </si>
  <si>
    <t>1,509,508 -&gt; 1,509,924</t>
  </si>
  <si>
    <t>GTTTCTTGAGGTTATTATTCAGTTTTGCAAATTAGCGCAAAGAAATTCTGGAATCTTCCTTCCTGATTTTGCATTGCATTCTGCCGTTGCGGCGATTTAGTGCTATTTTCGAGCAAATTACACACGGAGGTAAACACTAATGTTTACTTTGTTGATATAC</t>
  </si>
  <si>
    <t>AAATTACACACGGA</t>
  </si>
  <si>
    <t>CAAATTACACACGGAG</t>
  </si>
  <si>
    <t>AGGTAAACACTAATGTTTACTT</t>
  </si>
  <si>
    <t>GGTAAACACTAATGTTTACTTT</t>
  </si>
  <si>
    <t>gaattccgcatttctcacacaatttataacgtaactgtcagaattgggtattattggggcAggttgtcgtgaaggaattcc</t>
  </si>
  <si>
    <t>3,350,689 &lt;- 3,353,025</t>
  </si>
  <si>
    <t>AGGGATCGGCGCTGGGACGTCCGTGGCTACCTCCAACGGAGTAGGTCGTTGAGGGGAATTCCGCATTTCTCACACAATTTATAACGTAACTGTCAGAATTGGGTATTATTGGGGCAGGTTGTCGTGAAGGAATTCCCTAATGAAGCAAATTCGTCTGCTG</t>
  </si>
  <si>
    <t>TTAGGGAATTCCTTCACGACAACCT</t>
  </si>
  <si>
    <t>AATAATACCCAATTCTGACAGTTACGTTATAAATTGTGTGA</t>
  </si>
  <si>
    <t>1,225,385 &lt;- 1,226,080</t>
  </si>
  <si>
    <t>ACAAGGGTATTTTTTAAGCTATGAATCAGCGCCATTTATCACAGAATAGACTTTTACTCTGAATAAATGGGAGGGTGACTTGCCTCAATATAATCCAGACTATAACATGCCTTATAGTCTTCGGAACATCATCGCGCGCTGGCGATGATTAATAGCTAAT</t>
  </si>
  <si>
    <t>ACTCTGAATAAATGGGAG</t>
  </si>
  <si>
    <t>tctcaggcctgccgttccggtgggccttgttttttctctctttatccccatctttattgcAatgcttgcgcctttttcctg</t>
  </si>
  <si>
    <t>692,338 &lt;- 693,378</t>
  </si>
  <si>
    <t>ATTGCCCGTACCCGCAAAGAAAACGACCTTGGCGTGGGTTATTATCAGCCGTAATTCTCAGGCCTGCCGTTCCGGTGGGCCTTGTTTTTTCTCTCTTTATCCCCATCTTTATTGCAATGCTTGCGCCTTTTTCCTGTGGCGTGAATAATTTCCTTATAGG</t>
  </si>
  <si>
    <t>AATGCTTGCGCCTTTTTCCTGTGGCGTGAATAATT</t>
  </si>
  <si>
    <t>AATTCTCAGGCCTGCCGT</t>
  </si>
  <si>
    <t>tcagcaggaattgcggactgtgctgtaacaaaatccactctcgtgttaattttgtgaataAatatcacgacaggagttaat</t>
  </si>
  <si>
    <t>1,848,125 &lt;- 1,848,676</t>
  </si>
  <si>
    <t>ACACCTGTCACAGGCGCAATAGATGTGGTTATCGTAATGACCCAACCGGTACTTGTCAGCAGGAATTGCGGACTGTGCTGTAACAAAATCCACTCTCGTGTTAATTTTGTGAATAAATATCACGACAGGAGTTAATCAAATGGATGCACTCGAACTATTG</t>
  </si>
  <si>
    <t>AATATCACGACAGGAGTTAATCAAA</t>
  </si>
  <si>
    <t>GAGTTAATCAAATGGATGCACTC</t>
  </si>
  <si>
    <t>CGGTACTTGTCAGCAGGAATTGCGGACTGT</t>
  </si>
  <si>
    <t>3,097,267 -&gt; 3,098,403</t>
  </si>
  <si>
    <t>CCGGTTGACGGCCAGGCCAACAGTCATCTGGTGAAGTTTCTCGGTAAGCAATTCCGGGTTGCCAAAAGCCAGGTGGTGATTGAAAAAGGCGAACTTGGCCGCCACAAACAAATTAAAATCATTAATCCGCAACAAATCCCGCCAGAAATCGCGGCGTTAA</t>
  </si>
  <si>
    <t>GACGGCCAGGCCAACAG</t>
  </si>
  <si>
    <t>TTTAATTTGTTTGTGGCG</t>
  </si>
  <si>
    <t>3,403,484 -&gt; 3,404,458</t>
  </si>
  <si>
    <t>TCCTTGTGTTAACTCCGATAGTGAGGAAGCGGGCATACTAGCAAATCAGATTTATCTCGCAATTTATTGCGCTTCATCGGCTTTGCTTTTCCATTAGCGAGTATAGTCTTCAGAAATTATTTTCCAATCCATCATGCACATGAGGACCACTTATGCAGGC</t>
  </si>
  <si>
    <t>TTAGCGAGTATAGTCTTCAGAA</t>
  </si>
  <si>
    <t>CCATCATGCACATG</t>
  </si>
  <si>
    <t>GTGAGGAAGCGGGCATACT</t>
  </si>
  <si>
    <t>2,212,959 &lt;- 2,214,644</t>
  </si>
  <si>
    <t>GTGCATCTATAGGGTGATTTTATTTTTGCCAGGCGATTTTGAGTGATCGTACTCACGAATTCTCATTTTTCTGCAAGAGTTCAAAGAAAGTTAAACGCAGGCAATGTATGTTACGCGTTTTAAAGGGAAGTGTGGTTTGCGGGTATGTACGATTTTAATC</t>
  </si>
  <si>
    <t>CAGGCGATTTT</t>
  </si>
  <si>
    <t>2,212,243 &lt;- 2,212,962</t>
  </si>
  <si>
    <t>GGGATGAATCTGGTGGATAAGCGTTTACGTGAACGGTTTGGCGATGACTATGGAATAAGCGTCGCCTGTGAGCCTGATAGTTACACCCGAATAACGTTACGACTACCATG</t>
  </si>
  <si>
    <t>845664/845509</t>
  </si>
  <si>
    <t>sigma54 / sigma70</t>
  </si>
  <si>
    <t>atgcgctacgcttatcaggcctacaggatatctggcaacttattaaaattgcatgaacttGtaggacggataaggcgttca / aacgggccatttcatgtaacagaacgtttccatacaccgctatccatctaaatttaaatcActttttcagagaactgcgta</t>
  </si>
  <si>
    <t>CGGCTGATCTTTATCGACAAAGGCCGGATTGCGGAAGATGGCAATCCGCAGGTGTTGATCAAGAACCCGCCGAGCCAGCGCTTGCAGGAATTTTTGCAGCACGTCTCTTAATAAGACACATTGCCTGATGCGCTACGCTTATCAGGCCTACAGGATATCT</t>
  </si>
  <si>
    <t>843,255 &lt;- 845,480</t>
  </si>
  <si>
    <t>GCCTACAGGAT</t>
  </si>
  <si>
    <t>aggattaattaaattcattcctggcaggaaaatggcttaacatttgttagacttatggttGtcggcttcatagggagaata</t>
  </si>
  <si>
    <t>3,438,024 -&gt; 3,438,434</t>
  </si>
  <si>
    <t>TCTTGTAATTAATAAGGCGTCTAATGACGCCTTATTATTTCCCTTTGATTATCAAGGATTAATTAAATTCATTCCTGGCAGGAAAATGGCTTAACATTTGTTAGACTTATGGTTGTCGGCTTCATAGGGAGAATAACATGAGCATTATTAAAGAATTTCG</t>
  </si>
  <si>
    <t>AACATTTGTTAGACTTATGGTTGTCGGCTTCAT</t>
  </si>
  <si>
    <t>CCTGGCAGGAAAATGGCTTAACATTTGTTAGACTTATGGTTGTCGGCTTCATAGGGAGAAT</t>
  </si>
  <si>
    <t>ACATTTGTTAGACTTAT</t>
  </si>
  <si>
    <t>ACATTTGTTAGACTTATGGTT</t>
  </si>
  <si>
    <t>sigma54</t>
  </si>
  <si>
    <t>tgtggattatgtcaccaggagaaggatgaaaagtgtggcaaaccgtaatctgcaaggcgtGccgctggacagcgatggcgc</t>
  </si>
  <si>
    <t>4,118,515 -&gt; 4,118,760</t>
  </si>
  <si>
    <t>CATTTTCGATTGATGTGGATTATGTCACCAGGAGAAGGATGAAAAGTGTGGCAAACCGTAATCTGCAAGGCGTGCCGCTGGACAGCGATGGCGCGGCTTCATACAATCGGAGCTAACTAAAGTGCGCTCGTATTTATTAAGGCGTCACCGGTAATCGGGA</t>
  </si>
  <si>
    <t>AAACCGTAATCTGCAAGGCGTG</t>
  </si>
  <si>
    <t>ATGTGGATTATGTCACCAGGAGAAGGATGAAAAGTG</t>
  </si>
  <si>
    <t>3808540 -&gt; 3,810,304</t>
  </si>
  <si>
    <t>ttaagtcaaaaacgggaaaagtaatggtaaagccacagctaaatacatagaatccccagcAcatccataagtcagctattt</t>
  </si>
  <si>
    <t>AAAAATACAAAAAAAATGAAGATGTAGCGGCAGATCAGACCAAACTGAAGCTATTTAAGTCAAAAACGGGAAAAGTAATGGTAAAGCCACAGCTAAATACATAGAATCCCCAGCACATCCATAAGTCAGCTATTTACTATGCTCGAATTGCTTTACACCG</t>
  </si>
  <si>
    <t>CAGCTAAATACATAGAATCCCCAGCA</t>
  </si>
  <si>
    <t>AAAACGGGAAAAGTAATGGTAAAGCCA</t>
  </si>
  <si>
    <t>AAAAATACAAAAAAAATGAAGATG</t>
  </si>
  <si>
    <t>TTACTATGCTCGAATTGCTTTACACCG</t>
  </si>
  <si>
    <t>AATCGCATAAAAATACAAAAAAAATGAAGATGTAGCGGC</t>
  </si>
  <si>
    <t>4,621,769 -&gt; 4,623,100</t>
  </si>
  <si>
    <t>cggctttttagtatctattcatttttctctccagcttgaatattttcgctatacttttcaGtgaaatgtgttaataaatct</t>
  </si>
  <si>
    <t>ATTGTGTTTCGCTGCAAGGCGATTGCCTTGTGAAGCCGGAGCGGGAGACTGCTCCGGCTTTTTAGTATCTATTCATTTTTCTCTCCAGCTTGAATATTTTCGCTATACTTTTCAGTGAAATGTGTTAATAAATCTATTCAAGTATCTATTCACGAATCTA</t>
  </si>
  <si>
    <t>TGTGAAGCCGGAGCGGGAGACTGCTCCG</t>
  </si>
  <si>
    <t>gagtaattgtgtttcgctgcaaggcgattgccttgtgaagccggagcgggagactgctccGgctttttagtatctattcat</t>
  </si>
  <si>
    <t>ATATTTTCGCTATACTTTTCAG</t>
  </si>
  <si>
    <t>CTTGTGAAGCCGGAGCGGGAGACTGCTCCG</t>
  </si>
  <si>
    <t>GCTTTTTAGTATCTATTC</t>
  </si>
  <si>
    <t>4,370,688 -&gt; 4,370,981</t>
  </si>
  <si>
    <t>cagaattttttttctttttcccccttgaaggggcgaagcctcatccccatttctctggtcAccagccgggaaaccacgtaa</t>
  </si>
  <si>
    <t>AAATTGCGATGAAATGTGAGGTGAATCAGGGTTTTCACCCGATTTTGTGCTGATCAGAATTTTTTTTCTTTTTCCCCCTTGAAGGGGCGAAGCCTCATCCCCATTTCTCTGGTCACCAGCCGGGAAACCACGTAAGCTCCGGCGTCACCCATAACAGATA</t>
  </si>
  <si>
    <t>GCGAAGCCTCATCCCCATTTCTCTGGTCA</t>
  </si>
  <si>
    <t>GCTGATCAGAATTT</t>
  </si>
  <si>
    <t>190 -&gt; 5,020</t>
  </si>
  <si>
    <t>gccgtgagtaaattaaaattttattgacttaggtcactaaatactttaaccaatataggcAtagcgcacagacagataaaa</t>
  </si>
  <si>
    <t>CTCTGTGTGGATTAAAAAAAGAGTGTCTGATAGCAGCTTCTGAACTGGTTACCTGCCGTGAGTAAATTAAAATTTTATTGACTTAGGTCACTAAATACTTTAACCAATATAGGCATAGCGCACAGACAGATAAAAATTACAGAGTACACAACATCCATGA</t>
  </si>
  <si>
    <t>GACTTAGGTCACTAAATACTTTAACCAATATAGGCA</t>
  </si>
  <si>
    <t>TGACTTAGGTCACTAAATACTTTAACCAATA</t>
  </si>
  <si>
    <t>CTGATAGCAGCTTCTGAACTGGTTACCTGCCGTGAGTAAAT</t>
  </si>
  <si>
    <t>AGCGCACAGACAGATAAAAATTACAGAGTACACAACATCCA</t>
  </si>
  <si>
    <t>ACAGATAAAAATTAC</t>
  </si>
  <si>
    <t>AATTAAAATTTTATT</t>
  </si>
  <si>
    <t>acgcgacagcgcgcaataaccgttctcgactcataaaagtgatgccgctataatgccgcgTcctatttgaatgctttcggg</t>
  </si>
  <si>
    <t>455,133 -&gt; 456,431</t>
  </si>
  <si>
    <t>TTTGCGCTTTTTGCCCAGCATTCAGACGAAAATTGCCCGGGAATTGTGAAAAAATACGCGACAGCGCGCAATAACCGTTCTCGACTCATAAAAGTGATGCCGCTATAATGCCGCGTCCTATTTGAATGCTTTCGGGATGATTCTGGTAACAGGGAATGTG</t>
  </si>
  <si>
    <t>AAAGTGATGCCGCTATAATGCCGCGTCCTATTTGAA</t>
  </si>
  <si>
    <t>CGCTTTTTGCCCAGCATTCAGACGAAAAT</t>
  </si>
  <si>
    <t>TTCTCGACTCATAAAAGTGATGCCGCTATAATGCCGCGT</t>
  </si>
  <si>
    <t>tgctgtacacagcgccaacaattattggtgtccacgacgtatttgtggtataaagcgcgcCggacttccgatccatttcgt</t>
  </si>
  <si>
    <t>189,712 -&gt; 189,847</t>
  </si>
  <si>
    <t>ATTTCGCCAAACGTGCCACTGAAGGTTTTCTATAATAGAAAATTCGACGTCTGATGCTGTACACAGCGCCAACAATTATTGGTGTCCACGACGTATTTGTGGTATAAAGCGCGCCGGACTTCCGATCCATTTCGTATACACAGACTGGACGGAAGCGACA</t>
  </si>
  <si>
    <t>TCGCCAAACGTGCCACTGAAGGTTTTCTATAATA</t>
  </si>
  <si>
    <t>ACGGAAGCGACA</t>
  </si>
  <si>
    <t>AATTTCGCCAAACGTGCCACT</t>
  </si>
  <si>
    <t>TACACAGACTGGACGGAAGCGACAATCTCACTTTGTGTAACAACACACACGTATCGGCACATATTCCGGGGTGCCCTTTGGGGTCGGTAATATGGGATA</t>
  </si>
  <si>
    <t>GGTGTCCACGACGTATTTGTGGTATAAAGCGCGCC</t>
  </si>
  <si>
    <t>3,948,086 -&gt; 3,948,424</t>
  </si>
  <si>
    <t>AGTTTTTAACAATTCCGTATCCACAGTGCTCTCCGCAAAATTATTTGTCGTTATGATTTAAATGTTTTGTTTTACACTCTGTCAAGCGTAACTAATACTCCGCGCCATAACTAGCTCGGTCAAAGAATTAGGAGCGTGCAGGATGGCGGAAAGCTTTACG</t>
  </si>
  <si>
    <t>AAAATTATTTGTCGTTATGATTTAAATGTTTTGTTTTACACTCTGTCAAGCGTA</t>
  </si>
  <si>
    <t>TCTCGCATAATCGCCTTATGCCCGATGATATTCCTTTCATCGGGCTATTTAACCGTTAGTGCCTCCTTTCTCTCCCATCCCTTCCCCCTCCGTCAGATGAACTAAACTTGTTACCGTTATCACATTCAGGAGATGGAGAACCATGAAACAAACGGTTGCA</t>
  </si>
  <si>
    <t>ttagtgcctcctttctctcccatcccttccccctccgtcagatgaactaaacttgttaccGttatcacattcaggagatgg</t>
  </si>
  <si>
    <t>909,331 &lt;- 911,049</t>
  </si>
  <si>
    <t>ATCCCTTCCCCCTCCGTCAGATGAACTAAACTTGTTACCG</t>
  </si>
  <si>
    <t>TATTTAACCGTTAGTGCCT</t>
  </si>
  <si>
    <t>ctccggcttttttcgatctttatacttgtatggtagtagctcagttgcgtagatttcatgCatcacgacaagcgatgcaag</t>
  </si>
  <si>
    <t>1,653,927 &lt;- 1,655,141</t>
  </si>
  <si>
    <t>GACAAAAGGTATTCTATTTCATCTTTTGTCAACCATTCACAGCGCAAATATACGCCTTTTTTTGTGATCACTCCGGCTTTTTTCGATCTTTATACTTGTATGGTAGTAGCTCAGTTGCGTAGATTTCATGCATCACGACAAGCGATGCAAGGAATCGAAC</t>
  </si>
  <si>
    <t>CGTAGATTTCATGCATCACGACAAGCGAT</t>
  </si>
  <si>
    <t>ATGCATCACGACAAGCGATGCAAGGA</t>
  </si>
  <si>
    <t>TATACTTGTAT</t>
  </si>
  <si>
    <t>TTTTGTGATCACTCCGGCT</t>
  </si>
  <si>
    <t>TCCGGCTTTTTTCGA</t>
  </si>
  <si>
    <t>4,386,047 &lt;- 4,389,370</t>
  </si>
  <si>
    <t>GCTCGGCTGTATCACTTCCCGCACGGCGGTGATGTGATTGACTCCCCAGGAGTGCGTGAGTTCGGCCTCTGGCACCTGGAGCCGGAACAAATCACTCAGGGCTTTGTCGAATTCCATGACTATTTAGGTCTGTGTAAATATCGCGATTGCAAACACGATA</t>
  </si>
  <si>
    <t>True pos</t>
  </si>
  <si>
    <t>New sites</t>
  </si>
  <si>
    <t>False neg</t>
  </si>
  <si>
    <t>total sites identified</t>
  </si>
  <si>
    <t>ttgggtgtccggcccctcttagcctgttatgttgctgttaaaatggttaggatgacagccGtttttgacactgtcgggtcc</t>
  </si>
  <si>
    <t>4,639,590 &lt;- 4,640,306</t>
  </si>
  <si>
    <t>AAACTGTTAACGTGCTACAATTGAACTTGATATATGTCAACGAAGCGTAGTTTTATTGGGTGTCCGGCCCCTCTTAGCCTGTTATGTTGCTGTTAAAATGGTTAGGATGACAGCCGTTTTTGACACTGTCGGGTCCTGAGGGAAAGTACCCACGACCAAG</t>
  </si>
  <si>
    <t>TGCTACAATTGAACTTGATATATGTCAACGAAGCGTAGTTTTATTGGGTGTCCGGCCCCTCTTAGCCTGTTATGTTGCTGTTAAAATGGTTAGGATGACAGCCGTTTTTGACACTGT</t>
  </si>
  <si>
    <t>promoter x4</t>
  </si>
  <si>
    <t>GACAGCCGTTTTTGACACTGTCGGGTCCTGAGGGAA</t>
  </si>
  <si>
    <t>TTGATATATGTCAA</t>
  </si>
  <si>
    <t>TTGAACTTGATATA</t>
  </si>
  <si>
    <t>caatttcgcggcgggtggcatcagcaataaagtttcccccctccttgccgataacgagatCaacttgttttcaggaaggtg</t>
  </si>
  <si>
    <t>1,971,030 &lt;- 1,972,691</t>
  </si>
  <si>
    <t>CCCGATTTCCTCAATTGAAATGAACCCGATGATCTGCGCATCGGGTTTTTTATTTCAATTTCGCGGCGGGTGGCATCAGCAATAAAGTTTCCCCCCTCCTTGCCGATAACGAGATCAACTTGTTTTCAGGAAGGTGCCTTATGATTAACCGTATCCGCGT</t>
  </si>
  <si>
    <t>CCCCTCCTTGCCGATAACGAGATCAACTTGTTTTCAGG</t>
  </si>
  <si>
    <t>GTTTTCAGGAAGG</t>
  </si>
  <si>
    <t>CGGGTTTTTTATTTCAATT</t>
  </si>
  <si>
    <t>ccataagattagcggatcctacctgacgctttttatcgcaactctctactgtttctccatAcccgtttttttggatggagt</t>
  </si>
  <si>
    <t>66,835 &lt;- 68,337</t>
  </si>
  <si>
    <t>GTCCACATTGATTATTTGCACGGCGTCACACTTTGCTATGCCATAGCATTTTTATCCATAAGATTAGCGGATCCTACCTGACGCTTTTTATCGCAACTCTCTACTGTTTCTCCATACCCGTTTTTTTGGATGGAGTGAAACGATGGCGATTGCAATTGGC</t>
  </si>
  <si>
    <t>ACCCGTTTTTTTGGATGGAGTGAAACGA</t>
  </si>
  <si>
    <t>AAACGATGGCGATT</t>
  </si>
  <si>
    <t>GATTAGCGGATCCTACCTGA</t>
  </si>
  <si>
    <t>TACCTGACGCTTTTTATC</t>
  </si>
  <si>
    <t>TTATTTGCACGGCGTCACACTT</t>
  </si>
  <si>
    <t>ATTATTTGCACGGCGTCACACTTTGC</t>
  </si>
  <si>
    <t>tgacgccgtgcaaataatcaatgtggacttttctgccgtgattatagacacttttgttacGcgtttttgtcatggctttgg</t>
  </si>
  <si>
    <t>70,387 -&gt; 71,265</t>
  </si>
  <si>
    <t>ATCTTATGGATAAAAATGCTATGGCATAGCAAAGTGTGACGCCGTGCAAATAATCAATGTGGACTTTTCTGCCGTGATTATAGACACTTTTGTTACGCGTTTTTGTCATGGCTTTGGTCCCGCTTTGTTACAGAATGCTTTTAATAAGCGGGGTTACCGG</t>
  </si>
  <si>
    <t>AGACACTTTTGTTACGCGTTTTTGTC</t>
  </si>
  <si>
    <t>TTTGTCATGGCTTTGG</t>
  </si>
  <si>
    <t>TGTGGACTTTTCTGCCGTGATTATAGACACTTTTGTTACGCGTTTTTGTC</t>
  </si>
  <si>
    <t>repressor x4</t>
  </si>
  <si>
    <t>ATTATAGACACTTTTGTTACGCGTTTTTGTCATGGCTTTGGTCCCGCTTTGTTACAGAA</t>
  </si>
  <si>
    <t>ATGCTTTTAATAAGCGGGGTTACCGG</t>
  </si>
  <si>
    <t>AAGTGTGACGCCGTGCAAATAAT</t>
  </si>
  <si>
    <t>CAAAGTGTGACGCCG</t>
  </si>
  <si>
    <t>cgtaatcgaaagataaaaatctgtaattgttttcccctgtttagttgctaaaaattggttAcgtttatcgcggtgattgtt</t>
  </si>
  <si>
    <t>3,731,131 -&gt; 3,732,123</t>
  </si>
  <si>
    <t>AATTGCGCAACAAAAGTAAGATCTCGGTCATAAATCAAGAAATAAACCAAAAATCGTAATCGAAAGATAAAAATCTGTAATTGTTTTCCCCTGTTTAGTTGCTAAAAATTGGTTACGTTTATCGCGGTGATTGTTACTTATTAAAACTGTCCTCTAACTA</t>
  </si>
  <si>
    <t>TCGGTCATAAATCAAGAAATAAACCA</t>
  </si>
  <si>
    <t>TAAACCAAAAATCGTAATCGAAAG</t>
  </si>
  <si>
    <t>promoter + activator</t>
  </si>
  <si>
    <t>TTCCCCTGTTTAGTTGCTAAAAATTGGTTACGTTTATCGCG</t>
  </si>
  <si>
    <t>AAAATCGTAATCGAAAGATAAAAATCTGTAATTGTTTTCCCCTGTTTAGTTGCTAAAAATTGGTTACGTTTATCGCG</t>
  </si>
  <si>
    <t>GGTGATTGTTA</t>
  </si>
  <si>
    <t>GTGATTGTTACTTATTAAA</t>
  </si>
  <si>
    <t>tcaatagcagtgtgaaataacataattgagcaactgaaagggagtgcccaatattacgacAtcatccatcacccgcggcat</t>
  </si>
  <si>
    <t>3,729,443 &lt;- 3,730,765</t>
  </si>
  <si>
    <t>CCCAGTTTCATCATTCCATTTTATTTTGCGAGCGAGCGCACACTTGTGAATTATCTCAATAGCAGTGTGAAATAACATAATTGAGCAACTGAAAGGGAGTGCCCAATATTACGACATCATCCATCACCCGCGGCATTACCTGATTATGGAGTTCAATATG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</si>
</sst>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i/>
      <sz val="12"/>
      <color theme="1"/>
      <name val="Aptos Narrow"/>
      <scheme val="minor"/>
    </font>
    <font>
      <sz val="13"/>
      <color rgb="FF0F0F0F"/>
      <name val="Arial"/>
      <family val="2"/>
    </font>
    <font>
      <sz val="12"/>
      <color rgb="FF000000"/>
      <name val="Aptos Narrow"/>
      <family val="2"/>
      <scheme val="minor"/>
    </font>
    <font>
      <sz val="11"/>
      <color rgb="FF0F0F0F"/>
      <name val="Arial"/>
      <family val="2"/>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xf numFmtId="0" fontId="0" fillId="2" borderId="0" xfId="0" applyFill="1"/>
    <xf numFmtId="0" fontId="0" fillId="0" borderId="1" xfId="0" applyBorder="1" applyAlignment="1">
      <alignment horizontal="left" vertical="center"/>
    </xf>
    <xf numFmtId="0" fontId="1" fillId="3" borderId="1" xfId="0" applyFont="1" applyFill="1" applyBorder="1" applyAlignment="1">
      <alignment horizontal="left" vertical="center"/>
    </xf>
    <xf numFmtId="0" fontId="0" fillId="3" borderId="1" xfId="0" applyFill="1" applyBorder="1" applyAlignment="1">
      <alignment horizontal="left" vertical="center"/>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1" fillId="0" borderId="1" xfId="0" applyFont="1" applyBorder="1" applyAlignment="1">
      <alignment horizontal="left" vertical="center"/>
    </xf>
    <xf numFmtId="0" fontId="0" fillId="2" borderId="1" xfId="0" applyFill="1" applyBorder="1" applyAlignment="1">
      <alignment horizontal="left" vertical="center"/>
    </xf>
    <xf numFmtId="0" fontId="1" fillId="2" borderId="1" xfId="0" applyFont="1" applyFill="1" applyBorder="1" applyAlignment="1">
      <alignment horizontal="left" vertical="center"/>
    </xf>
    <xf numFmtId="3" fontId="0" fillId="2" borderId="1" xfId="0" applyNumberFormat="1" applyFill="1" applyBorder="1" applyAlignment="1">
      <alignment horizontal="left" vertical="center"/>
    </xf>
    <xf numFmtId="0" fontId="2" fillId="2" borderId="1" xfId="0" applyFont="1" applyFill="1" applyBorder="1" applyAlignment="1">
      <alignment horizontal="left" vertical="center"/>
    </xf>
    <xf numFmtId="0" fontId="1" fillId="4" borderId="1" xfId="0" applyFont="1" applyFill="1" applyBorder="1" applyAlignment="1">
      <alignment horizontal="left" vertical="center"/>
    </xf>
    <xf numFmtId="0" fontId="0" fillId="4" borderId="1" xfId="0" applyFill="1" applyBorder="1" applyAlignment="1">
      <alignment horizontal="left" vertical="center"/>
    </xf>
    <xf numFmtId="0" fontId="2" fillId="2" borderId="0" xfId="0" applyFont="1" applyFill="1"/>
    <xf numFmtId="0" fontId="1" fillId="5" borderId="1" xfId="0" applyFont="1" applyFill="1" applyBorder="1" applyAlignment="1">
      <alignment horizontal="left" vertical="center"/>
    </xf>
    <xf numFmtId="0" fontId="0" fillId="5" borderId="1" xfId="0" applyFill="1" applyBorder="1" applyAlignment="1">
      <alignment horizontal="left" vertical="center"/>
    </xf>
    <xf numFmtId="0" fontId="2" fillId="4" borderId="0" xfId="0" applyFont="1" applyFill="1"/>
    <xf numFmtId="0" fontId="0" fillId="0" borderId="0" xfId="0" applyAlignment="1">
      <alignment horizontal="left" vertical="center"/>
    </xf>
    <xf numFmtId="0" fontId="0" fillId="3" borderId="0" xfId="0" applyFill="1" applyAlignment="1">
      <alignment horizontal="left" vertical="center"/>
    </xf>
    <xf numFmtId="3" fontId="2" fillId="3" borderId="1" xfId="0" applyNumberFormat="1" applyFont="1" applyFill="1" applyBorder="1" applyAlignment="1">
      <alignment horizontal="left" vertical="center"/>
    </xf>
    <xf numFmtId="0" fontId="2" fillId="2" borderId="0" xfId="0" applyFont="1" applyFill="1" applyAlignment="1">
      <alignment horizontal="left" vertical="center"/>
    </xf>
    <xf numFmtId="0" fontId="0" fillId="2" borderId="0" xfId="0" applyFill="1" applyAlignment="1">
      <alignment horizontal="left" vertical="center"/>
    </xf>
    <xf numFmtId="0" fontId="2" fillId="4" borderId="0" xfId="0" applyFont="1" applyFill="1" applyAlignment="1">
      <alignment horizontal="left" vertical="center"/>
    </xf>
    <xf numFmtId="0" fontId="0" fillId="4" borderId="0" xfId="0" applyFill="1" applyAlignment="1">
      <alignment horizontal="left" vertical="center"/>
    </xf>
    <xf numFmtId="3" fontId="4" fillId="2" borderId="0" xfId="0" applyNumberFormat="1" applyFont="1" applyFill="1" applyAlignment="1">
      <alignment horizontal="left" vertical="center"/>
    </xf>
    <xf numFmtId="0" fontId="2" fillId="0" borderId="0" xfId="0" applyFont="1" applyAlignment="1">
      <alignment horizontal="left" vertical="center"/>
    </xf>
    <xf numFmtId="0" fontId="2" fillId="5" borderId="0" xfId="0" applyFont="1" applyFill="1" applyAlignment="1">
      <alignment horizontal="left" vertical="center"/>
    </xf>
    <xf numFmtId="0" fontId="0" fillId="5" borderId="0" xfId="0"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workbookViewId="0">
      <selection activeCell="F31" sqref="F31"/>
    </sheetView>
  </sheetViews>
  <sheetFormatPr baseColWidth="10" defaultRowHeight="16" x14ac:dyDescent="0.2"/>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x14ac:dyDescent="0.2">
      <c r="A1" t="s">
        <v>0</v>
      </c>
      <c r="B1" t="s">
        <v>1</v>
      </c>
      <c r="C1" t="s">
        <v>2</v>
      </c>
      <c r="D1" t="s">
        <v>3</v>
      </c>
      <c r="E1" t="s">
        <v>4</v>
      </c>
    </row>
    <row r="2" spans="1:5" x14ac:dyDescent="0.2">
      <c r="A2" t="s">
        <v>100</v>
      </c>
      <c r="B2">
        <v>0</v>
      </c>
      <c r="C2">
        <v>0</v>
      </c>
      <c r="D2">
        <v>0</v>
      </c>
      <c r="E2">
        <v>0</v>
      </c>
    </row>
    <row r="3" spans="1:5" x14ac:dyDescent="0.2">
      <c r="A3" t="s">
        <v>7</v>
      </c>
      <c r="B3">
        <v>1</v>
      </c>
      <c r="C3">
        <v>1</v>
      </c>
      <c r="D3">
        <v>1</v>
      </c>
      <c r="E3">
        <v>0</v>
      </c>
    </row>
    <row r="4" spans="1:5" x14ac:dyDescent="0.2">
      <c r="A4" t="s">
        <v>8</v>
      </c>
      <c r="B4">
        <v>1</v>
      </c>
      <c r="C4">
        <v>1</v>
      </c>
      <c r="D4">
        <v>1</v>
      </c>
      <c r="E4">
        <v>0</v>
      </c>
    </row>
    <row r="5" spans="1:5" x14ac:dyDescent="0.2">
      <c r="A5" t="s">
        <v>16</v>
      </c>
      <c r="B5">
        <v>1</v>
      </c>
      <c r="C5">
        <v>1</v>
      </c>
      <c r="D5">
        <v>1</v>
      </c>
      <c r="E5">
        <v>0</v>
      </c>
    </row>
    <row r="6" spans="1:5" x14ac:dyDescent="0.2">
      <c r="A6" t="s">
        <v>17</v>
      </c>
      <c r="B6">
        <v>1</v>
      </c>
      <c r="C6">
        <v>1</v>
      </c>
      <c r="D6">
        <v>1</v>
      </c>
      <c r="E6">
        <v>0</v>
      </c>
    </row>
    <row r="7" spans="1:5" x14ac:dyDescent="0.2">
      <c r="A7" t="s">
        <v>24</v>
      </c>
      <c r="B7">
        <v>1</v>
      </c>
      <c r="C7">
        <v>1</v>
      </c>
      <c r="D7">
        <v>1</v>
      </c>
      <c r="E7">
        <v>0</v>
      </c>
    </row>
    <row r="8" spans="1:5" x14ac:dyDescent="0.2">
      <c r="A8" t="s">
        <v>26</v>
      </c>
      <c r="B8">
        <v>1</v>
      </c>
      <c r="C8">
        <v>1</v>
      </c>
      <c r="D8">
        <v>1</v>
      </c>
      <c r="E8">
        <v>0</v>
      </c>
    </row>
    <row r="9" spans="1:5" x14ac:dyDescent="0.2">
      <c r="A9" t="s">
        <v>27</v>
      </c>
      <c r="B9">
        <v>1</v>
      </c>
      <c r="C9">
        <v>1</v>
      </c>
      <c r="D9">
        <v>1</v>
      </c>
      <c r="E9">
        <v>0</v>
      </c>
    </row>
    <row r="10" spans="1:5" x14ac:dyDescent="0.2">
      <c r="A10" t="s">
        <v>29</v>
      </c>
      <c r="B10">
        <v>1</v>
      </c>
      <c r="C10">
        <v>1</v>
      </c>
      <c r="D10">
        <v>1</v>
      </c>
      <c r="E10">
        <v>0</v>
      </c>
    </row>
    <row r="11" spans="1:5" x14ac:dyDescent="0.2">
      <c r="A11" t="s">
        <v>34</v>
      </c>
      <c r="B11">
        <v>1</v>
      </c>
      <c r="C11">
        <v>1</v>
      </c>
      <c r="D11">
        <v>1</v>
      </c>
      <c r="E11">
        <v>0</v>
      </c>
    </row>
    <row r="12" spans="1:5" x14ac:dyDescent="0.2">
      <c r="A12" t="s">
        <v>37</v>
      </c>
      <c r="B12">
        <v>1</v>
      </c>
      <c r="C12">
        <v>1</v>
      </c>
      <c r="D12">
        <v>1</v>
      </c>
      <c r="E12">
        <v>0</v>
      </c>
    </row>
    <row r="13" spans="1:5" x14ac:dyDescent="0.2">
      <c r="A13" t="s">
        <v>53</v>
      </c>
      <c r="B13">
        <v>1</v>
      </c>
      <c r="C13">
        <v>1</v>
      </c>
      <c r="D13">
        <v>0</v>
      </c>
      <c r="E13">
        <v>0</v>
      </c>
    </row>
    <row r="14" spans="1:5" x14ac:dyDescent="0.2">
      <c r="A14" t="s">
        <v>59</v>
      </c>
      <c r="B14">
        <v>1</v>
      </c>
      <c r="C14">
        <v>2</v>
      </c>
      <c r="D14">
        <v>1</v>
      </c>
      <c r="E14">
        <v>-1</v>
      </c>
    </row>
    <row r="15" spans="1:5" x14ac:dyDescent="0.2">
      <c r="A15" t="s">
        <v>66</v>
      </c>
      <c r="B15">
        <v>1</v>
      </c>
      <c r="C15">
        <v>2</v>
      </c>
      <c r="D15">
        <v>1</v>
      </c>
      <c r="E15">
        <v>-1</v>
      </c>
    </row>
    <row r="16" spans="1:5" x14ac:dyDescent="0.2">
      <c r="A16" t="s">
        <v>96</v>
      </c>
      <c r="B16">
        <v>1</v>
      </c>
      <c r="C16">
        <v>0</v>
      </c>
      <c r="D16">
        <v>0</v>
      </c>
      <c r="E16">
        <v>1</v>
      </c>
    </row>
    <row r="17" spans="1:5" x14ac:dyDescent="0.2">
      <c r="A17" t="s">
        <v>97</v>
      </c>
      <c r="B17">
        <v>1</v>
      </c>
      <c r="C17">
        <v>0</v>
      </c>
      <c r="D17">
        <v>0</v>
      </c>
      <c r="E17">
        <v>1</v>
      </c>
    </row>
    <row r="18" spans="1:5" x14ac:dyDescent="0.2">
      <c r="A18" t="s">
        <v>99</v>
      </c>
      <c r="B18">
        <v>1</v>
      </c>
      <c r="C18">
        <v>0</v>
      </c>
      <c r="D18">
        <v>0</v>
      </c>
      <c r="E18">
        <v>1</v>
      </c>
    </row>
    <row r="19" spans="1:5" x14ac:dyDescent="0.2">
      <c r="A19" t="s">
        <v>101</v>
      </c>
      <c r="B19">
        <v>1</v>
      </c>
      <c r="C19">
        <v>0</v>
      </c>
      <c r="D19">
        <v>0</v>
      </c>
      <c r="E19">
        <v>1</v>
      </c>
    </row>
    <row r="20" spans="1:5" x14ac:dyDescent="0.2">
      <c r="A20" t="s">
        <v>102</v>
      </c>
      <c r="B20">
        <v>1</v>
      </c>
      <c r="C20">
        <v>0</v>
      </c>
      <c r="D20">
        <v>0</v>
      </c>
      <c r="E20">
        <v>1</v>
      </c>
    </row>
    <row r="21" spans="1:5" x14ac:dyDescent="0.2">
      <c r="A21" t="s">
        <v>13</v>
      </c>
      <c r="B21">
        <v>2</v>
      </c>
      <c r="C21">
        <v>1</v>
      </c>
      <c r="D21">
        <v>1</v>
      </c>
      <c r="E21">
        <v>1</v>
      </c>
    </row>
    <row r="22" spans="1:5" x14ac:dyDescent="0.2">
      <c r="A22" t="s">
        <v>19</v>
      </c>
      <c r="B22">
        <v>2</v>
      </c>
      <c r="C22">
        <v>1</v>
      </c>
      <c r="D22">
        <v>1</v>
      </c>
      <c r="E22">
        <v>1</v>
      </c>
    </row>
    <row r="23" spans="1:5" x14ac:dyDescent="0.2">
      <c r="A23" t="s">
        <v>20</v>
      </c>
      <c r="B23">
        <v>2</v>
      </c>
      <c r="C23">
        <v>1</v>
      </c>
      <c r="D23">
        <v>1</v>
      </c>
      <c r="E23">
        <v>1</v>
      </c>
    </row>
    <row r="24" spans="1:5" x14ac:dyDescent="0.2">
      <c r="A24" t="s">
        <v>21</v>
      </c>
      <c r="B24">
        <v>2</v>
      </c>
      <c r="C24">
        <v>1</v>
      </c>
      <c r="D24">
        <v>1</v>
      </c>
      <c r="E24">
        <v>1</v>
      </c>
    </row>
    <row r="25" spans="1:5" x14ac:dyDescent="0.2">
      <c r="A25" t="s">
        <v>22</v>
      </c>
      <c r="B25">
        <v>2</v>
      </c>
      <c r="C25">
        <v>1</v>
      </c>
      <c r="D25">
        <v>1</v>
      </c>
      <c r="E25">
        <v>1</v>
      </c>
    </row>
    <row r="26" spans="1:5" x14ac:dyDescent="0.2">
      <c r="A26" t="s">
        <v>23</v>
      </c>
      <c r="B26">
        <v>2</v>
      </c>
      <c r="C26">
        <v>1</v>
      </c>
      <c r="D26">
        <v>1</v>
      </c>
      <c r="E26">
        <v>1</v>
      </c>
    </row>
    <row r="27" spans="1:5" x14ac:dyDescent="0.2">
      <c r="A27" t="s">
        <v>28</v>
      </c>
      <c r="B27">
        <v>2</v>
      </c>
      <c r="C27">
        <v>2</v>
      </c>
      <c r="D27">
        <v>2</v>
      </c>
      <c r="E27">
        <v>0</v>
      </c>
    </row>
    <row r="28" spans="1:5" x14ac:dyDescent="0.2">
      <c r="A28" t="s">
        <v>30</v>
      </c>
      <c r="B28">
        <v>2</v>
      </c>
      <c r="C28">
        <v>1</v>
      </c>
      <c r="D28">
        <v>1</v>
      </c>
      <c r="E28">
        <v>1</v>
      </c>
    </row>
    <row r="29" spans="1:5" x14ac:dyDescent="0.2">
      <c r="A29" t="s">
        <v>31</v>
      </c>
      <c r="B29">
        <v>2</v>
      </c>
      <c r="C29">
        <v>2</v>
      </c>
      <c r="D29">
        <v>2</v>
      </c>
      <c r="E29">
        <v>0</v>
      </c>
    </row>
    <row r="30" spans="1:5" x14ac:dyDescent="0.2">
      <c r="A30" t="s">
        <v>32</v>
      </c>
      <c r="B30">
        <v>2</v>
      </c>
      <c r="C30">
        <v>1</v>
      </c>
      <c r="D30">
        <v>1</v>
      </c>
      <c r="E30">
        <v>1</v>
      </c>
    </row>
    <row r="31" spans="1:5" x14ac:dyDescent="0.2">
      <c r="A31" t="s">
        <v>33</v>
      </c>
      <c r="B31">
        <v>2</v>
      </c>
      <c r="C31">
        <v>1</v>
      </c>
      <c r="D31">
        <v>1</v>
      </c>
      <c r="E31">
        <v>1</v>
      </c>
    </row>
    <row r="32" spans="1:5" x14ac:dyDescent="0.2">
      <c r="A32" t="s">
        <v>35</v>
      </c>
      <c r="B32">
        <v>2</v>
      </c>
      <c r="C32">
        <v>1</v>
      </c>
      <c r="D32">
        <v>1</v>
      </c>
      <c r="E32">
        <v>1</v>
      </c>
    </row>
    <row r="33" spans="1:5" x14ac:dyDescent="0.2">
      <c r="A33" t="s">
        <v>36</v>
      </c>
      <c r="B33">
        <v>2</v>
      </c>
      <c r="C33">
        <v>1</v>
      </c>
      <c r="D33">
        <v>1</v>
      </c>
      <c r="E33">
        <v>1</v>
      </c>
    </row>
    <row r="34" spans="1:5" x14ac:dyDescent="0.2">
      <c r="A34" t="s">
        <v>39</v>
      </c>
      <c r="B34">
        <v>2</v>
      </c>
      <c r="C34">
        <v>2</v>
      </c>
      <c r="D34">
        <v>1</v>
      </c>
      <c r="E34">
        <v>0</v>
      </c>
    </row>
    <row r="35" spans="1:5" x14ac:dyDescent="0.2">
      <c r="A35" t="s">
        <v>40</v>
      </c>
      <c r="B35">
        <v>2</v>
      </c>
      <c r="C35">
        <v>2</v>
      </c>
      <c r="D35">
        <v>1</v>
      </c>
      <c r="E35">
        <v>0</v>
      </c>
    </row>
    <row r="36" spans="1:5" x14ac:dyDescent="0.2">
      <c r="A36" t="s">
        <v>41</v>
      </c>
      <c r="B36">
        <v>2</v>
      </c>
      <c r="C36">
        <v>2</v>
      </c>
      <c r="D36">
        <v>2</v>
      </c>
      <c r="E36">
        <v>0</v>
      </c>
    </row>
    <row r="37" spans="1:5" x14ac:dyDescent="0.2">
      <c r="A37" t="s">
        <v>42</v>
      </c>
      <c r="B37">
        <v>2</v>
      </c>
      <c r="C37">
        <v>2</v>
      </c>
      <c r="D37">
        <v>1</v>
      </c>
      <c r="E37">
        <v>0</v>
      </c>
    </row>
    <row r="38" spans="1:5" x14ac:dyDescent="0.2">
      <c r="A38" t="s">
        <v>43</v>
      </c>
      <c r="B38">
        <v>2</v>
      </c>
      <c r="C38">
        <v>2</v>
      </c>
      <c r="D38">
        <v>1</v>
      </c>
      <c r="E38">
        <v>0</v>
      </c>
    </row>
    <row r="39" spans="1:5" x14ac:dyDescent="0.2">
      <c r="A39" t="s">
        <v>44</v>
      </c>
      <c r="B39">
        <v>2</v>
      </c>
      <c r="C39">
        <v>2</v>
      </c>
      <c r="D39">
        <v>1</v>
      </c>
      <c r="E39">
        <v>0</v>
      </c>
    </row>
    <row r="40" spans="1:5" x14ac:dyDescent="0.2">
      <c r="A40" t="s">
        <v>45</v>
      </c>
      <c r="B40">
        <v>2</v>
      </c>
      <c r="C40">
        <v>2</v>
      </c>
      <c r="D40">
        <v>1</v>
      </c>
      <c r="E40">
        <v>0</v>
      </c>
    </row>
    <row r="41" spans="1:5" x14ac:dyDescent="0.2">
      <c r="A41" t="s">
        <v>47</v>
      </c>
      <c r="B41">
        <v>2</v>
      </c>
      <c r="C41">
        <v>2</v>
      </c>
      <c r="D41">
        <v>1</v>
      </c>
      <c r="E41">
        <v>0</v>
      </c>
    </row>
    <row r="42" spans="1:5" x14ac:dyDescent="0.2">
      <c r="A42" t="s">
        <v>48</v>
      </c>
      <c r="B42">
        <v>2</v>
      </c>
      <c r="C42">
        <v>2</v>
      </c>
      <c r="D42">
        <v>1</v>
      </c>
      <c r="E42">
        <v>0</v>
      </c>
    </row>
    <row r="43" spans="1:5" x14ac:dyDescent="0.2">
      <c r="A43" t="s">
        <v>51</v>
      </c>
      <c r="B43">
        <v>2</v>
      </c>
      <c r="C43">
        <v>2</v>
      </c>
      <c r="D43">
        <v>1</v>
      </c>
      <c r="E43">
        <v>0</v>
      </c>
    </row>
    <row r="44" spans="1:5" x14ac:dyDescent="0.2">
      <c r="A44" t="s">
        <v>57</v>
      </c>
      <c r="B44">
        <v>2</v>
      </c>
      <c r="C44">
        <v>1</v>
      </c>
      <c r="D44">
        <v>0</v>
      </c>
      <c r="E44">
        <v>1</v>
      </c>
    </row>
    <row r="45" spans="1:5" x14ac:dyDescent="0.2">
      <c r="A45" t="s">
        <v>58</v>
      </c>
      <c r="B45">
        <v>2</v>
      </c>
      <c r="C45">
        <v>2</v>
      </c>
      <c r="D45">
        <v>2</v>
      </c>
      <c r="E45">
        <v>0</v>
      </c>
    </row>
    <row r="46" spans="1:5" x14ac:dyDescent="0.2">
      <c r="A46" t="s">
        <v>60</v>
      </c>
      <c r="B46">
        <v>2</v>
      </c>
      <c r="C46">
        <v>2</v>
      </c>
      <c r="D46">
        <v>1</v>
      </c>
      <c r="E46">
        <v>0</v>
      </c>
    </row>
    <row r="47" spans="1:5" x14ac:dyDescent="0.2">
      <c r="A47" t="s">
        <v>88</v>
      </c>
      <c r="B47">
        <v>2</v>
      </c>
      <c r="C47">
        <v>2</v>
      </c>
      <c r="D47">
        <v>1</v>
      </c>
      <c r="E47">
        <v>0</v>
      </c>
    </row>
    <row r="48" spans="1:5" x14ac:dyDescent="0.2">
      <c r="A48" t="s">
        <v>62</v>
      </c>
      <c r="B48">
        <v>2</v>
      </c>
      <c r="C48">
        <v>2</v>
      </c>
      <c r="D48">
        <v>1</v>
      </c>
      <c r="E48">
        <v>0</v>
      </c>
    </row>
    <row r="49" spans="1:5" x14ac:dyDescent="0.2">
      <c r="A49" t="s">
        <v>64</v>
      </c>
      <c r="B49">
        <v>2</v>
      </c>
      <c r="C49">
        <v>2</v>
      </c>
      <c r="D49">
        <v>1</v>
      </c>
      <c r="E49">
        <v>0</v>
      </c>
    </row>
    <row r="50" spans="1:5" x14ac:dyDescent="0.2">
      <c r="A50" t="s">
        <v>65</v>
      </c>
      <c r="B50">
        <v>2</v>
      </c>
      <c r="C50">
        <v>2</v>
      </c>
      <c r="D50">
        <v>1</v>
      </c>
      <c r="E50">
        <v>0</v>
      </c>
    </row>
    <row r="51" spans="1:5" x14ac:dyDescent="0.2">
      <c r="A51" t="s">
        <v>67</v>
      </c>
      <c r="B51">
        <v>2</v>
      </c>
      <c r="C51">
        <v>2</v>
      </c>
      <c r="D51">
        <v>1</v>
      </c>
      <c r="E51">
        <v>0</v>
      </c>
    </row>
    <row r="52" spans="1:5" x14ac:dyDescent="0.2">
      <c r="A52" t="s">
        <v>69</v>
      </c>
      <c r="B52">
        <v>2</v>
      </c>
      <c r="C52">
        <v>2</v>
      </c>
      <c r="D52">
        <v>1</v>
      </c>
      <c r="E52">
        <v>0</v>
      </c>
    </row>
    <row r="53" spans="1:5" x14ac:dyDescent="0.2">
      <c r="A53" t="s">
        <v>70</v>
      </c>
      <c r="B53">
        <v>2</v>
      </c>
      <c r="C53">
        <v>2</v>
      </c>
      <c r="D53">
        <v>0</v>
      </c>
      <c r="E53">
        <v>0</v>
      </c>
    </row>
    <row r="54" spans="1:5" x14ac:dyDescent="0.2">
      <c r="A54" t="s">
        <v>72</v>
      </c>
      <c r="B54">
        <v>2</v>
      </c>
      <c r="C54">
        <v>3</v>
      </c>
      <c r="D54">
        <v>1</v>
      </c>
      <c r="E54">
        <v>-1</v>
      </c>
    </row>
    <row r="55" spans="1:5" x14ac:dyDescent="0.2">
      <c r="A55" t="s">
        <v>73</v>
      </c>
      <c r="B55">
        <v>2</v>
      </c>
      <c r="C55">
        <v>3</v>
      </c>
      <c r="D55">
        <v>1</v>
      </c>
      <c r="E55">
        <v>-1</v>
      </c>
    </row>
    <row r="56" spans="1:5" x14ac:dyDescent="0.2">
      <c r="A56" t="s">
        <v>76</v>
      </c>
      <c r="B56">
        <v>2</v>
      </c>
      <c r="C56">
        <v>3</v>
      </c>
      <c r="D56">
        <v>1</v>
      </c>
      <c r="E56">
        <v>-1</v>
      </c>
    </row>
    <row r="57" spans="1:5" x14ac:dyDescent="0.2">
      <c r="A57" t="s">
        <v>87</v>
      </c>
      <c r="B57">
        <v>2</v>
      </c>
      <c r="C57">
        <v>3</v>
      </c>
      <c r="D57">
        <v>0</v>
      </c>
      <c r="E57">
        <v>-1</v>
      </c>
    </row>
    <row r="58" spans="1:5" x14ac:dyDescent="0.2">
      <c r="A58" t="s">
        <v>90</v>
      </c>
      <c r="B58">
        <v>2</v>
      </c>
      <c r="C58">
        <v>0</v>
      </c>
      <c r="D58">
        <v>0</v>
      </c>
      <c r="E58">
        <v>2</v>
      </c>
    </row>
    <row r="59" spans="1:5" x14ac:dyDescent="0.2">
      <c r="A59" t="s">
        <v>91</v>
      </c>
      <c r="B59">
        <v>2</v>
      </c>
      <c r="C59">
        <v>0</v>
      </c>
      <c r="D59">
        <v>0</v>
      </c>
      <c r="E59">
        <v>2</v>
      </c>
    </row>
    <row r="60" spans="1:5" x14ac:dyDescent="0.2">
      <c r="A60" t="s">
        <v>92</v>
      </c>
      <c r="B60">
        <v>2</v>
      </c>
      <c r="C60">
        <v>0</v>
      </c>
      <c r="D60">
        <v>0</v>
      </c>
      <c r="E60">
        <v>2</v>
      </c>
    </row>
    <row r="61" spans="1:5" x14ac:dyDescent="0.2">
      <c r="A61" t="s">
        <v>95</v>
      </c>
      <c r="B61">
        <v>2</v>
      </c>
      <c r="C61">
        <v>2</v>
      </c>
      <c r="D61">
        <v>2</v>
      </c>
      <c r="E61">
        <v>0</v>
      </c>
    </row>
    <row r="62" spans="1:5" x14ac:dyDescent="0.2">
      <c r="A62" t="s">
        <v>98</v>
      </c>
      <c r="B62">
        <v>2</v>
      </c>
      <c r="C62">
        <v>0</v>
      </c>
      <c r="D62">
        <v>0</v>
      </c>
      <c r="E62">
        <v>2</v>
      </c>
    </row>
    <row r="63" spans="1:5" x14ac:dyDescent="0.2">
      <c r="A63" t="s">
        <v>103</v>
      </c>
      <c r="B63">
        <v>2</v>
      </c>
      <c r="C63">
        <v>0</v>
      </c>
      <c r="D63">
        <v>0</v>
      </c>
      <c r="E63">
        <v>2</v>
      </c>
    </row>
    <row r="64" spans="1:5" x14ac:dyDescent="0.2">
      <c r="A64" t="s">
        <v>5</v>
      </c>
      <c r="B64">
        <v>3</v>
      </c>
      <c r="C64">
        <v>1</v>
      </c>
      <c r="D64">
        <v>1</v>
      </c>
      <c r="E64">
        <v>2</v>
      </c>
    </row>
    <row r="65" spans="1:5" x14ac:dyDescent="0.2">
      <c r="A65" t="s">
        <v>6</v>
      </c>
      <c r="B65">
        <v>3</v>
      </c>
      <c r="C65">
        <v>1</v>
      </c>
      <c r="D65">
        <v>1</v>
      </c>
      <c r="E65">
        <v>2</v>
      </c>
    </row>
    <row r="66" spans="1:5" x14ac:dyDescent="0.2">
      <c r="A66" t="s">
        <v>10</v>
      </c>
      <c r="B66">
        <v>3</v>
      </c>
      <c r="C66">
        <v>1</v>
      </c>
      <c r="D66">
        <v>1</v>
      </c>
      <c r="E66">
        <v>2</v>
      </c>
    </row>
    <row r="67" spans="1:5" x14ac:dyDescent="0.2">
      <c r="A67" t="s">
        <v>11</v>
      </c>
      <c r="B67">
        <v>3</v>
      </c>
      <c r="C67">
        <v>3</v>
      </c>
      <c r="D67">
        <v>3</v>
      </c>
      <c r="E67">
        <v>0</v>
      </c>
    </row>
    <row r="68" spans="1:5" x14ac:dyDescent="0.2">
      <c r="A68" t="s">
        <v>12</v>
      </c>
      <c r="B68">
        <v>3</v>
      </c>
      <c r="C68">
        <v>1</v>
      </c>
      <c r="D68">
        <v>1</v>
      </c>
      <c r="E68">
        <v>2</v>
      </c>
    </row>
    <row r="69" spans="1:5" x14ac:dyDescent="0.2">
      <c r="A69" t="s">
        <v>14</v>
      </c>
      <c r="B69">
        <v>3</v>
      </c>
      <c r="C69">
        <v>1</v>
      </c>
      <c r="D69">
        <v>1</v>
      </c>
      <c r="E69">
        <v>2</v>
      </c>
    </row>
    <row r="70" spans="1:5" x14ac:dyDescent="0.2">
      <c r="A70" t="s">
        <v>15</v>
      </c>
      <c r="B70">
        <v>3</v>
      </c>
      <c r="C70">
        <v>1</v>
      </c>
      <c r="D70">
        <v>1</v>
      </c>
      <c r="E70">
        <v>2</v>
      </c>
    </row>
    <row r="71" spans="1:5" x14ac:dyDescent="0.2">
      <c r="A71" t="s">
        <v>18</v>
      </c>
      <c r="B71">
        <v>3</v>
      </c>
      <c r="C71">
        <v>1</v>
      </c>
      <c r="D71">
        <v>1</v>
      </c>
      <c r="E71">
        <v>2</v>
      </c>
    </row>
    <row r="72" spans="1:5" x14ac:dyDescent="0.2">
      <c r="A72" t="s">
        <v>25</v>
      </c>
      <c r="B72">
        <v>3</v>
      </c>
      <c r="C72">
        <v>1</v>
      </c>
      <c r="D72">
        <v>1</v>
      </c>
      <c r="E72">
        <v>2</v>
      </c>
    </row>
    <row r="73" spans="1:5" x14ac:dyDescent="0.2">
      <c r="A73" t="s">
        <v>46</v>
      </c>
      <c r="B73">
        <v>3</v>
      </c>
      <c r="C73">
        <v>2</v>
      </c>
      <c r="D73">
        <v>1</v>
      </c>
      <c r="E73">
        <v>1</v>
      </c>
    </row>
    <row r="74" spans="1:5" x14ac:dyDescent="0.2">
      <c r="A74" t="s">
        <v>49</v>
      </c>
      <c r="B74">
        <v>3</v>
      </c>
      <c r="C74">
        <v>3</v>
      </c>
      <c r="D74">
        <v>2</v>
      </c>
      <c r="E74">
        <v>0</v>
      </c>
    </row>
    <row r="75" spans="1:5" x14ac:dyDescent="0.2">
      <c r="A75" t="s">
        <v>50</v>
      </c>
      <c r="B75">
        <v>3</v>
      </c>
      <c r="C75">
        <v>2</v>
      </c>
      <c r="D75">
        <v>1</v>
      </c>
      <c r="E75">
        <v>1</v>
      </c>
    </row>
    <row r="76" spans="1:5" x14ac:dyDescent="0.2">
      <c r="A76" t="s">
        <v>54</v>
      </c>
      <c r="B76">
        <v>3</v>
      </c>
      <c r="C76">
        <v>3</v>
      </c>
      <c r="D76">
        <v>2</v>
      </c>
      <c r="E76">
        <v>0</v>
      </c>
    </row>
    <row r="77" spans="1:5" x14ac:dyDescent="0.2">
      <c r="A77" t="s">
        <v>55</v>
      </c>
      <c r="B77">
        <v>3</v>
      </c>
      <c r="C77">
        <v>2</v>
      </c>
      <c r="D77">
        <v>1</v>
      </c>
      <c r="E77">
        <v>1</v>
      </c>
    </row>
    <row r="78" spans="1:5" x14ac:dyDescent="0.2">
      <c r="A78" t="s">
        <v>61</v>
      </c>
      <c r="B78">
        <v>3</v>
      </c>
      <c r="C78">
        <v>2</v>
      </c>
      <c r="D78">
        <v>1</v>
      </c>
      <c r="E78">
        <v>1</v>
      </c>
    </row>
    <row r="79" spans="1:5" x14ac:dyDescent="0.2">
      <c r="A79" t="s">
        <v>63</v>
      </c>
      <c r="B79">
        <v>3</v>
      </c>
      <c r="C79">
        <v>2</v>
      </c>
      <c r="D79">
        <v>1</v>
      </c>
      <c r="E79">
        <v>1</v>
      </c>
    </row>
    <row r="80" spans="1:5" x14ac:dyDescent="0.2">
      <c r="A80" t="s">
        <v>68</v>
      </c>
      <c r="B80">
        <v>3</v>
      </c>
      <c r="C80">
        <v>2</v>
      </c>
      <c r="D80">
        <v>1</v>
      </c>
      <c r="E80">
        <v>1</v>
      </c>
    </row>
    <row r="81" spans="1:5" x14ac:dyDescent="0.2">
      <c r="A81" t="s">
        <v>71</v>
      </c>
      <c r="B81">
        <v>3</v>
      </c>
      <c r="C81">
        <v>3</v>
      </c>
      <c r="D81">
        <v>1</v>
      </c>
      <c r="E81">
        <v>0</v>
      </c>
    </row>
    <row r="82" spans="1:5" x14ac:dyDescent="0.2">
      <c r="A82" t="s">
        <v>75</v>
      </c>
      <c r="B82">
        <v>3</v>
      </c>
      <c r="C82">
        <v>3</v>
      </c>
      <c r="D82">
        <v>1</v>
      </c>
      <c r="E82">
        <v>0</v>
      </c>
    </row>
    <row r="83" spans="1:5" x14ac:dyDescent="0.2">
      <c r="A83" t="s">
        <v>79</v>
      </c>
      <c r="B83">
        <v>3</v>
      </c>
      <c r="C83">
        <v>2</v>
      </c>
      <c r="D83">
        <v>0</v>
      </c>
      <c r="E83">
        <v>1</v>
      </c>
    </row>
    <row r="84" spans="1:5" x14ac:dyDescent="0.2">
      <c r="A84" t="s">
        <v>80</v>
      </c>
      <c r="B84">
        <v>3</v>
      </c>
      <c r="C84">
        <v>3</v>
      </c>
      <c r="D84">
        <v>0</v>
      </c>
      <c r="E84">
        <v>-1</v>
      </c>
    </row>
    <row r="85" spans="1:5" x14ac:dyDescent="0.2">
      <c r="A85" t="s">
        <v>81</v>
      </c>
      <c r="B85">
        <v>3</v>
      </c>
      <c r="C85">
        <v>4</v>
      </c>
      <c r="D85">
        <v>0</v>
      </c>
      <c r="E85">
        <v>-1</v>
      </c>
    </row>
    <row r="86" spans="1:5" x14ac:dyDescent="0.2">
      <c r="A86" t="s">
        <v>85</v>
      </c>
      <c r="B86">
        <v>3</v>
      </c>
      <c r="C86">
        <v>4</v>
      </c>
      <c r="D86">
        <v>0</v>
      </c>
      <c r="E86">
        <v>-1</v>
      </c>
    </row>
    <row r="87" spans="1:5" x14ac:dyDescent="0.2">
      <c r="A87" t="s">
        <v>86</v>
      </c>
      <c r="B87">
        <v>3</v>
      </c>
      <c r="C87">
        <v>4</v>
      </c>
      <c r="D87">
        <v>4</v>
      </c>
      <c r="E87">
        <v>-1</v>
      </c>
    </row>
    <row r="88" spans="1:5" x14ac:dyDescent="0.2">
      <c r="A88" t="s">
        <v>89</v>
      </c>
      <c r="B88">
        <v>3</v>
      </c>
      <c r="C88">
        <v>0</v>
      </c>
      <c r="D88">
        <v>0</v>
      </c>
      <c r="E88">
        <v>3</v>
      </c>
    </row>
    <row r="89" spans="1:5" x14ac:dyDescent="0.2">
      <c r="A89" t="s">
        <v>94</v>
      </c>
      <c r="B89">
        <v>3</v>
      </c>
      <c r="C89">
        <v>2</v>
      </c>
      <c r="D89">
        <v>2</v>
      </c>
      <c r="E89">
        <v>1</v>
      </c>
    </row>
    <row r="90" spans="1:5" x14ac:dyDescent="0.2">
      <c r="A90" t="s">
        <v>9</v>
      </c>
      <c r="B90">
        <v>4</v>
      </c>
      <c r="C90">
        <v>0</v>
      </c>
      <c r="D90">
        <v>0</v>
      </c>
      <c r="E90">
        <v>4</v>
      </c>
    </row>
    <row r="91" spans="1:5" x14ac:dyDescent="0.2">
      <c r="A91" t="s">
        <v>38</v>
      </c>
      <c r="B91">
        <v>4</v>
      </c>
      <c r="C91">
        <v>2</v>
      </c>
      <c r="D91">
        <v>2</v>
      </c>
      <c r="E91">
        <v>2</v>
      </c>
    </row>
    <row r="92" spans="1:5" x14ac:dyDescent="0.2">
      <c r="A92" t="s">
        <v>52</v>
      </c>
      <c r="B92">
        <v>4</v>
      </c>
      <c r="C92">
        <v>2</v>
      </c>
      <c r="D92">
        <v>1</v>
      </c>
      <c r="E92">
        <v>2</v>
      </c>
    </row>
    <row r="93" spans="1:5" x14ac:dyDescent="0.2">
      <c r="A93" t="s">
        <v>56</v>
      </c>
      <c r="B93">
        <v>4</v>
      </c>
      <c r="C93">
        <v>3</v>
      </c>
      <c r="D93">
        <v>2</v>
      </c>
      <c r="E93">
        <v>1</v>
      </c>
    </row>
    <row r="94" spans="1:5" x14ac:dyDescent="0.2">
      <c r="A94" t="s">
        <v>74</v>
      </c>
      <c r="B94">
        <v>4</v>
      </c>
      <c r="C94">
        <v>3</v>
      </c>
      <c r="D94">
        <v>1</v>
      </c>
      <c r="E94">
        <v>1</v>
      </c>
    </row>
    <row r="95" spans="1:5" x14ac:dyDescent="0.2">
      <c r="A95" t="s">
        <v>77</v>
      </c>
      <c r="B95">
        <v>4</v>
      </c>
      <c r="C95">
        <v>3</v>
      </c>
      <c r="D95">
        <v>3</v>
      </c>
      <c r="E95">
        <v>1</v>
      </c>
    </row>
    <row r="96" spans="1:5" x14ac:dyDescent="0.2">
      <c r="A96" t="s">
        <v>78</v>
      </c>
      <c r="B96">
        <v>4</v>
      </c>
      <c r="C96">
        <v>4</v>
      </c>
      <c r="D96">
        <v>1</v>
      </c>
      <c r="E96">
        <v>0</v>
      </c>
    </row>
    <row r="97" spans="1:5" x14ac:dyDescent="0.2">
      <c r="A97" t="s">
        <v>82</v>
      </c>
      <c r="B97">
        <v>4</v>
      </c>
      <c r="C97">
        <v>4</v>
      </c>
      <c r="D97">
        <v>3</v>
      </c>
      <c r="E97">
        <v>0</v>
      </c>
    </row>
    <row r="98" spans="1:5" x14ac:dyDescent="0.2">
      <c r="A98" t="s">
        <v>83</v>
      </c>
      <c r="B98">
        <v>4</v>
      </c>
      <c r="C98">
        <v>4</v>
      </c>
      <c r="D98">
        <v>4</v>
      </c>
      <c r="E98">
        <v>0</v>
      </c>
    </row>
    <row r="99" spans="1:5" x14ac:dyDescent="0.2">
      <c r="A99" t="s">
        <v>84</v>
      </c>
      <c r="B99">
        <v>4</v>
      </c>
      <c r="C99">
        <v>4</v>
      </c>
      <c r="D99">
        <v>4</v>
      </c>
      <c r="E99">
        <v>0</v>
      </c>
    </row>
    <row r="100" spans="1:5" x14ac:dyDescent="0.2">
      <c r="B100">
        <f>COUNT(B1:B98)</f>
        <v>97</v>
      </c>
      <c r="C100">
        <f>SUMIF(E1:E98,"&gt;=0",C1:C98)</f>
        <v>131</v>
      </c>
      <c r="E100">
        <f>SUMIF(E1:E98,"&gt;=0",E1:E98)</f>
        <v>65</v>
      </c>
    </row>
    <row r="101" spans="1:5" x14ac:dyDescent="0.2">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X175"/>
  <sheetViews>
    <sheetView tabSelected="1" zoomScale="142" workbookViewId="0">
      <pane ySplit="1" topLeftCell="A151" activePane="bottomLeft" state="frozen"/>
      <selection pane="bottomLeft" activeCell="E173" sqref="E173"/>
    </sheetView>
  </sheetViews>
  <sheetFormatPr baseColWidth="10" defaultRowHeight="16" x14ac:dyDescent="0.2"/>
  <cols>
    <col min="1" max="1" width="14.33203125" style="19" bestFit="1" customWidth="1"/>
    <col min="2" max="2" width="13.1640625" style="19" bestFit="1" customWidth="1"/>
    <col min="3" max="3" width="6.5" style="19" bestFit="1" customWidth="1"/>
    <col min="4" max="4" width="14.5" style="19" bestFit="1" customWidth="1"/>
    <col min="5" max="5" width="15.1640625" style="19" bestFit="1" customWidth="1"/>
    <col min="6" max="6" width="12.33203125" style="19" bestFit="1" customWidth="1"/>
    <col min="7" max="7" width="20" style="19" bestFit="1" customWidth="1"/>
    <col min="8" max="8" width="21" style="19" bestFit="1" customWidth="1"/>
    <col min="9" max="9" width="187" style="19" bestFit="1" customWidth="1"/>
    <col min="10" max="10" width="26.6640625" style="19" bestFit="1" customWidth="1"/>
    <col min="11" max="11" width="16.6640625" style="19" bestFit="1" customWidth="1"/>
    <col min="12" max="12" width="22.6640625" style="19" bestFit="1" customWidth="1"/>
    <col min="13" max="13" width="145" style="19" bestFit="1" customWidth="1"/>
    <col min="14" max="14" width="18.83203125" style="19" bestFit="1" customWidth="1"/>
    <col min="15" max="15" width="17.6640625" style="19" bestFit="1" customWidth="1"/>
    <col min="16" max="16" width="132.33203125" style="19" bestFit="1" customWidth="1"/>
    <col min="17" max="17" width="24" style="19" bestFit="1" customWidth="1"/>
    <col min="18" max="18" width="17.6640625" style="19" bestFit="1" customWidth="1"/>
    <col min="19" max="19" width="16.6640625" style="19" bestFit="1" customWidth="1"/>
    <col min="20" max="20" width="25.83203125" style="19" bestFit="1" customWidth="1"/>
    <col min="21" max="21" width="25.83203125" style="19" customWidth="1"/>
    <col min="22" max="22" width="95.5" style="19" bestFit="1" customWidth="1"/>
    <col min="23" max="23" width="20.1640625" style="19" bestFit="1" customWidth="1"/>
    <col min="24" max="16384" width="10.83203125" style="19"/>
  </cols>
  <sheetData>
    <row r="1" spans="1:24" x14ac:dyDescent="0.2">
      <c r="A1" s="3" t="s">
        <v>104</v>
      </c>
      <c r="B1" s="3" t="s">
        <v>123</v>
      </c>
      <c r="C1" s="3" t="s">
        <v>105</v>
      </c>
      <c r="D1" s="3" t="s">
        <v>124</v>
      </c>
      <c r="E1" s="3" t="s">
        <v>125</v>
      </c>
      <c r="F1" s="3" t="s">
        <v>107</v>
      </c>
      <c r="G1" s="3" t="s">
        <v>126</v>
      </c>
      <c r="H1" s="3" t="s">
        <v>127</v>
      </c>
      <c r="I1" s="3" t="s">
        <v>149</v>
      </c>
      <c r="J1" s="3" t="s">
        <v>117</v>
      </c>
      <c r="K1" s="3" t="s">
        <v>106</v>
      </c>
      <c r="L1" s="3" t="s">
        <v>130</v>
      </c>
      <c r="M1" s="3" t="s">
        <v>131</v>
      </c>
      <c r="N1" s="3" t="s">
        <v>112</v>
      </c>
      <c r="O1" s="3" t="s">
        <v>111</v>
      </c>
      <c r="P1" s="3" t="s">
        <v>148</v>
      </c>
      <c r="Q1" s="3" t="s">
        <v>113</v>
      </c>
      <c r="R1" s="3" t="s">
        <v>110</v>
      </c>
      <c r="S1" s="3" t="s">
        <v>114</v>
      </c>
      <c r="T1" s="3" t="s">
        <v>140</v>
      </c>
      <c r="U1" s="3" t="s">
        <v>139</v>
      </c>
      <c r="V1" s="3" t="s">
        <v>115</v>
      </c>
      <c r="W1" s="3" t="s">
        <v>116</v>
      </c>
      <c r="X1" s="3" t="s">
        <v>141</v>
      </c>
    </row>
    <row r="2" spans="1:24" s="20" customFormat="1" ht="17" x14ac:dyDescent="0.2">
      <c r="A2" s="4" t="s">
        <v>11</v>
      </c>
      <c r="B2" s="5">
        <v>4085867</v>
      </c>
      <c r="C2" s="5" t="s">
        <v>118</v>
      </c>
      <c r="D2" s="5">
        <f>IF(C2="fwd",1,-1)</f>
        <v>-1</v>
      </c>
      <c r="E2" s="5">
        <v>0</v>
      </c>
      <c r="F2" s="5">
        <f>B2+D2*E2</f>
        <v>4085867</v>
      </c>
      <c r="G2" s="5">
        <v>4085823</v>
      </c>
      <c r="H2" s="5">
        <v>4085982</v>
      </c>
      <c r="I2" s="5" t="s">
        <v>168</v>
      </c>
      <c r="J2" s="6" t="s">
        <v>169</v>
      </c>
      <c r="K2" s="5" t="s">
        <v>109</v>
      </c>
      <c r="L2" s="5" t="s">
        <v>109</v>
      </c>
      <c r="M2" s="5" t="s">
        <v>109</v>
      </c>
      <c r="N2" s="5" t="s">
        <v>143</v>
      </c>
      <c r="O2" s="5" t="s">
        <v>143</v>
      </c>
      <c r="P2" s="5" t="s">
        <v>143</v>
      </c>
      <c r="Q2" s="5" t="s">
        <v>143</v>
      </c>
      <c r="R2" s="5">
        <v>4085883</v>
      </c>
      <c r="S2" s="5">
        <v>4085943</v>
      </c>
      <c r="T2" s="5">
        <f t="shared" ref="T2:T11" si="0">R2-G2</f>
        <v>60</v>
      </c>
      <c r="U2" s="5">
        <f t="shared" ref="U2:U11" si="1">S2-G2</f>
        <v>120</v>
      </c>
      <c r="V2" s="5" t="s">
        <v>173</v>
      </c>
      <c r="W2" s="5" t="s">
        <v>152</v>
      </c>
      <c r="X2" s="5">
        <v>1</v>
      </c>
    </row>
    <row r="3" spans="1:24" s="20" customFormat="1" ht="17" x14ac:dyDescent="0.2">
      <c r="A3" s="4" t="s">
        <v>11</v>
      </c>
      <c r="B3" s="5">
        <v>4085867</v>
      </c>
      <c r="C3" s="5" t="s">
        <v>118</v>
      </c>
      <c r="D3" s="5">
        <f>IF(C3="fwd",1,-1)</f>
        <v>-1</v>
      </c>
      <c r="E3" s="5">
        <v>0</v>
      </c>
      <c r="F3" s="5">
        <f>B3+D3*E3</f>
        <v>4085867</v>
      </c>
      <c r="G3" s="5">
        <v>4085823</v>
      </c>
      <c r="H3" s="5">
        <v>4085982</v>
      </c>
      <c r="I3" s="5" t="s">
        <v>168</v>
      </c>
      <c r="J3" s="6" t="s">
        <v>169</v>
      </c>
      <c r="K3" s="5" t="s">
        <v>109</v>
      </c>
      <c r="L3" s="5" t="s">
        <v>109</v>
      </c>
      <c r="M3" s="5" t="s">
        <v>109</v>
      </c>
      <c r="N3" s="5" t="s">
        <v>143</v>
      </c>
      <c r="O3" s="5" t="s">
        <v>143</v>
      </c>
      <c r="P3" s="5" t="s">
        <v>143</v>
      </c>
      <c r="Q3" s="5" t="s">
        <v>143</v>
      </c>
      <c r="R3" s="5">
        <v>4085943</v>
      </c>
      <c r="S3" s="5">
        <v>4085960</v>
      </c>
      <c r="T3" s="5">
        <f t="shared" si="0"/>
        <v>120</v>
      </c>
      <c r="U3" s="5">
        <f t="shared" si="1"/>
        <v>137</v>
      </c>
      <c r="V3" s="5" t="s">
        <v>174</v>
      </c>
      <c r="W3" s="5" t="s">
        <v>135</v>
      </c>
      <c r="X3" s="5">
        <v>1</v>
      </c>
    </row>
    <row r="4" spans="1:24" s="20" customFormat="1" ht="17" x14ac:dyDescent="0.2">
      <c r="A4" s="4" t="s">
        <v>11</v>
      </c>
      <c r="B4" s="5">
        <v>4085867</v>
      </c>
      <c r="C4" s="5" t="s">
        <v>118</v>
      </c>
      <c r="D4" s="5">
        <f>IF(C4="fwd",1,-1)</f>
        <v>-1</v>
      </c>
      <c r="E4" s="5">
        <v>0</v>
      </c>
      <c r="F4" s="5">
        <f>B4+D4*E4</f>
        <v>4085867</v>
      </c>
      <c r="G4" s="5">
        <v>4085823</v>
      </c>
      <c r="H4" s="5">
        <v>4085982</v>
      </c>
      <c r="I4" s="5" t="s">
        <v>168</v>
      </c>
      <c r="J4" s="6" t="s">
        <v>169</v>
      </c>
      <c r="K4" s="5" t="s">
        <v>109</v>
      </c>
      <c r="L4" s="5" t="s">
        <v>109</v>
      </c>
      <c r="M4" s="5" t="s">
        <v>109</v>
      </c>
      <c r="N4" s="5">
        <v>4085835</v>
      </c>
      <c r="O4" s="5">
        <v>4085848</v>
      </c>
      <c r="P4" s="5" t="s">
        <v>170</v>
      </c>
      <c r="Q4" s="5" t="s">
        <v>171</v>
      </c>
      <c r="R4" s="5">
        <v>4085826</v>
      </c>
      <c r="S4" s="5">
        <v>4085863</v>
      </c>
      <c r="T4" s="5">
        <f t="shared" si="0"/>
        <v>3</v>
      </c>
      <c r="U4" s="5">
        <f t="shared" si="1"/>
        <v>40</v>
      </c>
      <c r="V4" s="5" t="s">
        <v>172</v>
      </c>
      <c r="W4" s="5" t="s">
        <v>135</v>
      </c>
      <c r="X4" s="5">
        <v>1</v>
      </c>
    </row>
    <row r="5" spans="1:24" s="20" customFormat="1" x14ac:dyDescent="0.2">
      <c r="A5" s="4" t="s">
        <v>24</v>
      </c>
      <c r="B5" s="5">
        <v>2928035</v>
      </c>
      <c r="C5" s="5" t="s">
        <v>108</v>
      </c>
      <c r="D5" s="5">
        <f t="shared" ref="D5:D112" si="2">IF(C5="fwd",1,-1)</f>
        <v>1</v>
      </c>
      <c r="E5" s="5">
        <v>0</v>
      </c>
      <c r="F5" s="5">
        <f t="shared" ref="F5:F112" si="3">B5+D5*E5</f>
        <v>2928035</v>
      </c>
      <c r="G5" s="5">
        <v>2927921</v>
      </c>
      <c r="H5" s="5">
        <v>2928080</v>
      </c>
      <c r="I5" s="5" t="s">
        <v>176</v>
      </c>
      <c r="J5" s="5" t="s">
        <v>177</v>
      </c>
      <c r="K5" s="5">
        <v>2928035</v>
      </c>
      <c r="L5" s="5" t="s">
        <v>175</v>
      </c>
      <c r="M5" s="5" t="s">
        <v>178</v>
      </c>
      <c r="N5" s="5">
        <v>2928004</v>
      </c>
      <c r="O5" s="5">
        <v>2928080</v>
      </c>
      <c r="P5" s="5" t="s">
        <v>179</v>
      </c>
      <c r="Q5" s="5" t="s">
        <v>152</v>
      </c>
      <c r="R5" s="5">
        <v>2928004</v>
      </c>
      <c r="S5" s="5">
        <f>R5+26</f>
        <v>2928030</v>
      </c>
      <c r="T5" s="5">
        <f t="shared" si="0"/>
        <v>83</v>
      </c>
      <c r="U5" s="5">
        <f t="shared" si="1"/>
        <v>109</v>
      </c>
      <c r="V5" s="5" t="s">
        <v>180</v>
      </c>
      <c r="W5" s="5" t="s">
        <v>152</v>
      </c>
      <c r="X5" s="5">
        <v>0</v>
      </c>
    </row>
    <row r="6" spans="1:24" s="20" customFormat="1" ht="17" x14ac:dyDescent="0.2">
      <c r="A6" s="4" t="s">
        <v>51</v>
      </c>
      <c r="B6" s="5">
        <v>2185451</v>
      </c>
      <c r="C6" s="5" t="s">
        <v>118</v>
      </c>
      <c r="D6" s="5">
        <f t="shared" si="2"/>
        <v>-1</v>
      </c>
      <c r="E6" s="5">
        <v>0</v>
      </c>
      <c r="F6" s="5">
        <f t="shared" si="3"/>
        <v>2185451</v>
      </c>
      <c r="G6" s="5">
        <v>2185407</v>
      </c>
      <c r="H6" s="5">
        <v>2185566</v>
      </c>
      <c r="I6" s="5" t="s">
        <v>182</v>
      </c>
      <c r="J6" s="6" t="s">
        <v>183</v>
      </c>
      <c r="K6" s="5">
        <v>2185451</v>
      </c>
      <c r="L6" s="5" t="s">
        <v>109</v>
      </c>
      <c r="M6" s="5" t="s">
        <v>181</v>
      </c>
      <c r="N6" s="5">
        <f>O6-45</f>
        <v>2185406</v>
      </c>
      <c r="O6" s="5">
        <v>2185451</v>
      </c>
      <c r="P6" s="5" t="s">
        <v>184</v>
      </c>
      <c r="Q6" s="5" t="s">
        <v>144</v>
      </c>
      <c r="R6" s="5">
        <v>2185430</v>
      </c>
      <c r="S6" s="5">
        <v>2185487</v>
      </c>
      <c r="T6" s="5">
        <f t="shared" si="0"/>
        <v>23</v>
      </c>
      <c r="U6" s="5">
        <f t="shared" si="1"/>
        <v>80</v>
      </c>
      <c r="V6" s="5" t="s">
        <v>185</v>
      </c>
      <c r="W6" s="5" t="s">
        <v>144</v>
      </c>
      <c r="X6" s="5">
        <v>0</v>
      </c>
    </row>
    <row r="7" spans="1:24" s="20" customFormat="1" ht="17" x14ac:dyDescent="0.2">
      <c r="A7" s="4" t="s">
        <v>51</v>
      </c>
      <c r="B7" s="5">
        <v>2185451</v>
      </c>
      <c r="C7" s="5" t="s">
        <v>118</v>
      </c>
      <c r="D7" s="5">
        <f t="shared" si="2"/>
        <v>-1</v>
      </c>
      <c r="E7" s="5">
        <v>0</v>
      </c>
      <c r="F7" s="5">
        <f t="shared" ref="F7" si="4">B7+D7*E7</f>
        <v>2185451</v>
      </c>
      <c r="G7" s="5">
        <v>2185407</v>
      </c>
      <c r="H7" s="5">
        <v>2185566</v>
      </c>
      <c r="I7" s="5" t="s">
        <v>182</v>
      </c>
      <c r="J7" s="6" t="s">
        <v>183</v>
      </c>
      <c r="K7" s="5">
        <v>2185451</v>
      </c>
      <c r="L7" s="5" t="s">
        <v>109</v>
      </c>
      <c r="M7" s="5" t="s">
        <v>181</v>
      </c>
      <c r="N7" s="5" t="s">
        <v>143</v>
      </c>
      <c r="O7" s="5" t="s">
        <v>143</v>
      </c>
      <c r="P7" s="5" t="s">
        <v>143</v>
      </c>
      <c r="Q7" s="5" t="s">
        <v>143</v>
      </c>
      <c r="R7" s="5">
        <v>2185487</v>
      </c>
      <c r="S7" s="5">
        <f>R7+17</f>
        <v>2185504</v>
      </c>
      <c r="T7" s="5">
        <f t="shared" si="0"/>
        <v>80</v>
      </c>
      <c r="U7" s="5">
        <f t="shared" si="1"/>
        <v>97</v>
      </c>
      <c r="V7" s="5" t="s">
        <v>186</v>
      </c>
      <c r="W7" s="5" t="s">
        <v>152</v>
      </c>
      <c r="X7" s="5">
        <v>1</v>
      </c>
    </row>
    <row r="8" spans="1:24" s="20" customFormat="1" ht="17" x14ac:dyDescent="0.2">
      <c r="A8" s="4" t="s">
        <v>55</v>
      </c>
      <c r="B8" s="5">
        <v>2033449</v>
      </c>
      <c r="C8" s="5" t="s">
        <v>118</v>
      </c>
      <c r="D8" s="5">
        <f t="shared" si="2"/>
        <v>-1</v>
      </c>
      <c r="E8" s="5">
        <v>0</v>
      </c>
      <c r="F8" s="5">
        <f t="shared" si="3"/>
        <v>2033449</v>
      </c>
      <c r="G8" s="5">
        <v>2033405</v>
      </c>
      <c r="H8" s="5">
        <v>2033564</v>
      </c>
      <c r="I8" s="5" t="s">
        <v>190</v>
      </c>
      <c r="J8" s="6" t="s">
        <v>191</v>
      </c>
      <c r="K8" s="5" t="s">
        <v>187</v>
      </c>
      <c r="L8" s="5" t="s">
        <v>188</v>
      </c>
      <c r="M8" s="5" t="s">
        <v>189</v>
      </c>
      <c r="N8" s="5" t="s">
        <v>143</v>
      </c>
      <c r="O8" s="5" t="s">
        <v>143</v>
      </c>
      <c r="P8" s="5" t="s">
        <v>143</v>
      </c>
      <c r="Q8" s="5" t="s">
        <v>143</v>
      </c>
      <c r="R8" s="5">
        <v>2033430</v>
      </c>
      <c r="S8" s="5">
        <v>2033445</v>
      </c>
      <c r="T8" s="5">
        <f t="shared" si="0"/>
        <v>25</v>
      </c>
      <c r="U8" s="5">
        <f t="shared" si="1"/>
        <v>40</v>
      </c>
      <c r="V8" s="5" t="s">
        <v>192</v>
      </c>
      <c r="W8" s="5" t="s">
        <v>152</v>
      </c>
      <c r="X8" s="5">
        <v>1</v>
      </c>
    </row>
    <row r="9" spans="1:24" s="20" customFormat="1" ht="17" x14ac:dyDescent="0.2">
      <c r="A9" s="4" t="s">
        <v>55</v>
      </c>
      <c r="B9" s="5">
        <v>2033449</v>
      </c>
      <c r="C9" s="5" t="s">
        <v>118</v>
      </c>
      <c r="D9" s="5">
        <f t="shared" si="2"/>
        <v>-1</v>
      </c>
      <c r="E9" s="5">
        <v>0</v>
      </c>
      <c r="F9" s="5">
        <f t="shared" ref="F9" si="5">B9+D9*E9</f>
        <v>2033449</v>
      </c>
      <c r="G9" s="5">
        <v>2033405</v>
      </c>
      <c r="H9" s="5">
        <v>2033564</v>
      </c>
      <c r="I9" s="5" t="s">
        <v>190</v>
      </c>
      <c r="J9" s="6" t="s">
        <v>191</v>
      </c>
      <c r="K9" s="5" t="s">
        <v>187</v>
      </c>
      <c r="L9" s="5" t="s">
        <v>188</v>
      </c>
      <c r="M9" s="5" t="s">
        <v>189</v>
      </c>
      <c r="N9" s="5" t="s">
        <v>143</v>
      </c>
      <c r="O9" s="5" t="s">
        <v>143</v>
      </c>
      <c r="P9" s="5" t="s">
        <v>143</v>
      </c>
      <c r="Q9" s="5" t="s">
        <v>143</v>
      </c>
      <c r="R9" s="5">
        <v>2033476</v>
      </c>
      <c r="S9" s="5">
        <v>2033494</v>
      </c>
      <c r="T9" s="5">
        <f t="shared" si="0"/>
        <v>71</v>
      </c>
      <c r="U9" s="5">
        <f t="shared" si="1"/>
        <v>89</v>
      </c>
      <c r="V9" s="5" t="s">
        <v>193</v>
      </c>
      <c r="W9" s="5" t="s">
        <v>135</v>
      </c>
      <c r="X9" s="5">
        <v>1</v>
      </c>
    </row>
    <row r="10" spans="1:24" s="20" customFormat="1" ht="17" x14ac:dyDescent="0.2">
      <c r="A10" s="4" t="s">
        <v>55</v>
      </c>
      <c r="B10" s="5">
        <v>2033449</v>
      </c>
      <c r="C10" s="5" t="s">
        <v>118</v>
      </c>
      <c r="D10" s="5">
        <f t="shared" si="2"/>
        <v>-1</v>
      </c>
      <c r="E10" s="5">
        <v>0</v>
      </c>
      <c r="F10" s="5">
        <f t="shared" ref="F10" si="6">B10+D10*E10</f>
        <v>2033449</v>
      </c>
      <c r="G10" s="5">
        <v>2033405</v>
      </c>
      <c r="H10" s="5">
        <v>2033564</v>
      </c>
      <c r="I10" s="5" t="s">
        <v>190</v>
      </c>
      <c r="J10" s="6" t="s">
        <v>191</v>
      </c>
      <c r="K10" s="5" t="s">
        <v>187</v>
      </c>
      <c r="L10" s="5" t="s">
        <v>188</v>
      </c>
      <c r="M10" s="5" t="s">
        <v>189</v>
      </c>
      <c r="N10" s="5" t="s">
        <v>143</v>
      </c>
      <c r="O10" s="5" t="s">
        <v>143</v>
      </c>
      <c r="P10" s="5" t="s">
        <v>143</v>
      </c>
      <c r="Q10" s="5" t="s">
        <v>143</v>
      </c>
      <c r="R10" s="5">
        <v>2033494</v>
      </c>
      <c r="S10" s="5">
        <f>R10+12</f>
        <v>2033506</v>
      </c>
      <c r="T10" s="5">
        <f t="shared" si="0"/>
        <v>89</v>
      </c>
      <c r="U10" s="5">
        <f t="shared" si="1"/>
        <v>101</v>
      </c>
      <c r="V10" s="5" t="s">
        <v>194</v>
      </c>
      <c r="W10" s="5" t="s">
        <v>152</v>
      </c>
      <c r="X10" s="5">
        <v>1</v>
      </c>
    </row>
    <row r="11" spans="1:24" s="20" customFormat="1" ht="17" x14ac:dyDescent="0.2">
      <c r="A11" s="4" t="s">
        <v>74</v>
      </c>
      <c r="B11" s="5">
        <v>321511</v>
      </c>
      <c r="C11" s="5" t="s">
        <v>108</v>
      </c>
      <c r="D11" s="5">
        <f t="shared" si="2"/>
        <v>1</v>
      </c>
      <c r="E11" s="5">
        <v>0</v>
      </c>
      <c r="F11" s="5">
        <f t="shared" si="3"/>
        <v>321511</v>
      </c>
      <c r="G11" s="5">
        <v>321397</v>
      </c>
      <c r="H11" s="5">
        <v>321556</v>
      </c>
      <c r="I11" s="5" t="s">
        <v>195</v>
      </c>
      <c r="J11" s="6" t="s">
        <v>196</v>
      </c>
      <c r="K11" s="5">
        <v>321511</v>
      </c>
      <c r="L11" s="5" t="s">
        <v>175</v>
      </c>
      <c r="M11" s="5" t="s">
        <v>197</v>
      </c>
      <c r="N11" s="5">
        <v>321537</v>
      </c>
      <c r="O11" s="5">
        <f>N11+20</f>
        <v>321557</v>
      </c>
      <c r="P11" s="5" t="s">
        <v>198</v>
      </c>
      <c r="Q11" s="5" t="s">
        <v>144</v>
      </c>
      <c r="R11" s="5">
        <f>S11-24</f>
        <v>321530</v>
      </c>
      <c r="S11" s="5">
        <v>321554</v>
      </c>
      <c r="T11" s="5">
        <f t="shared" si="0"/>
        <v>133</v>
      </c>
      <c r="U11" s="5">
        <f t="shared" si="1"/>
        <v>157</v>
      </c>
      <c r="V11" s="5" t="s">
        <v>199</v>
      </c>
      <c r="W11" s="5" t="s">
        <v>144</v>
      </c>
      <c r="X11" s="5">
        <v>0</v>
      </c>
    </row>
    <row r="12" spans="1:24" s="20" customFormat="1" ht="17" x14ac:dyDescent="0.2">
      <c r="A12" s="4" t="s">
        <v>74</v>
      </c>
      <c r="B12" s="5">
        <v>321511</v>
      </c>
      <c r="C12" s="5" t="s">
        <v>108</v>
      </c>
      <c r="D12" s="5">
        <f t="shared" si="2"/>
        <v>1</v>
      </c>
      <c r="E12" s="5">
        <v>0</v>
      </c>
      <c r="F12" s="5">
        <f t="shared" ref="F12" si="7">B12+D12*E12</f>
        <v>321511</v>
      </c>
      <c r="G12" s="5">
        <v>321397</v>
      </c>
      <c r="H12" s="5">
        <v>321556</v>
      </c>
      <c r="I12" s="5" t="s">
        <v>195</v>
      </c>
      <c r="J12" s="6" t="s">
        <v>196</v>
      </c>
      <c r="K12" s="5">
        <v>321511</v>
      </c>
      <c r="L12" s="5" t="s">
        <v>175</v>
      </c>
      <c r="M12" s="5" t="s">
        <v>197</v>
      </c>
      <c r="N12" s="5">
        <v>321511</v>
      </c>
      <c r="O12" s="5">
        <f>N12+20</f>
        <v>321531</v>
      </c>
      <c r="P12" s="5" t="s">
        <v>200</v>
      </c>
      <c r="Q12" s="5" t="s">
        <v>144</v>
      </c>
      <c r="R12" s="5" t="s">
        <v>143</v>
      </c>
      <c r="S12" s="5" t="s">
        <v>143</v>
      </c>
      <c r="T12" s="5" t="s">
        <v>143</v>
      </c>
      <c r="U12" s="5" t="s">
        <v>143</v>
      </c>
      <c r="V12" s="5" t="s">
        <v>143</v>
      </c>
      <c r="W12" s="5" t="s">
        <v>143</v>
      </c>
      <c r="X12" s="5">
        <v>-1</v>
      </c>
    </row>
    <row r="13" spans="1:24" s="20" customFormat="1" ht="17" x14ac:dyDescent="0.2">
      <c r="A13" s="4" t="s">
        <v>74</v>
      </c>
      <c r="B13" s="5">
        <v>321511</v>
      </c>
      <c r="C13" s="5" t="s">
        <v>108</v>
      </c>
      <c r="D13" s="5">
        <f t="shared" si="2"/>
        <v>1</v>
      </c>
      <c r="E13" s="5">
        <v>0</v>
      </c>
      <c r="F13" s="5">
        <f t="shared" ref="F13:F14" si="8">B13+D13*E13</f>
        <v>321511</v>
      </c>
      <c r="G13" s="5">
        <v>321397</v>
      </c>
      <c r="H13" s="5">
        <v>321556</v>
      </c>
      <c r="I13" s="5" t="s">
        <v>195</v>
      </c>
      <c r="J13" s="6" t="s">
        <v>196</v>
      </c>
      <c r="K13" s="5">
        <v>321511</v>
      </c>
      <c r="L13" s="5" t="s">
        <v>175</v>
      </c>
      <c r="M13" s="5" t="s">
        <v>197</v>
      </c>
      <c r="N13" s="5">
        <v>321484</v>
      </c>
      <c r="O13" s="5">
        <f>N13+20</f>
        <v>321504</v>
      </c>
      <c r="P13" s="5" t="s">
        <v>202</v>
      </c>
      <c r="Q13" s="5" t="s">
        <v>144</v>
      </c>
      <c r="R13" s="5">
        <v>321485</v>
      </c>
      <c r="S13" s="5">
        <f>R13+18</f>
        <v>321503</v>
      </c>
      <c r="T13" s="5">
        <f t="shared" ref="T13:T19" si="9">R13-G13</f>
        <v>88</v>
      </c>
      <c r="U13" s="5">
        <f t="shared" ref="U13:U19" si="10">S13-G13</f>
        <v>106</v>
      </c>
      <c r="V13" s="5" t="s">
        <v>201</v>
      </c>
      <c r="W13" s="5" t="s">
        <v>144</v>
      </c>
      <c r="X13" s="5">
        <v>0</v>
      </c>
    </row>
    <row r="14" spans="1:24" s="20" customFormat="1" ht="17" x14ac:dyDescent="0.2">
      <c r="A14" s="4" t="s">
        <v>49</v>
      </c>
      <c r="B14" s="5">
        <v>1996867</v>
      </c>
      <c r="C14" s="5" t="s">
        <v>118</v>
      </c>
      <c r="D14" s="5">
        <f t="shared" si="2"/>
        <v>-1</v>
      </c>
      <c r="E14" s="5">
        <v>-10</v>
      </c>
      <c r="F14" s="5">
        <f t="shared" si="8"/>
        <v>1996877</v>
      </c>
      <c r="G14" s="5">
        <v>1996823</v>
      </c>
      <c r="H14" s="5">
        <v>1996982</v>
      </c>
      <c r="I14" s="5" t="s">
        <v>205</v>
      </c>
      <c r="J14" s="6" t="s">
        <v>206</v>
      </c>
      <c r="K14" s="5">
        <v>1996897</v>
      </c>
      <c r="L14" s="5" t="s">
        <v>175</v>
      </c>
      <c r="M14" s="5" t="s">
        <v>204</v>
      </c>
      <c r="N14" s="5">
        <v>1996832</v>
      </c>
      <c r="O14" s="5">
        <v>1996868</v>
      </c>
      <c r="P14" s="5" t="s">
        <v>208</v>
      </c>
      <c r="Q14" s="5" t="s">
        <v>209</v>
      </c>
      <c r="R14" s="5">
        <v>1996830</v>
      </c>
      <c r="S14" s="5">
        <v>1996860</v>
      </c>
      <c r="T14" s="5">
        <f t="shared" si="9"/>
        <v>7</v>
      </c>
      <c r="U14" s="5">
        <f t="shared" si="10"/>
        <v>37</v>
      </c>
      <c r="V14" s="5" t="s">
        <v>210</v>
      </c>
      <c r="W14" s="5" t="s">
        <v>144</v>
      </c>
      <c r="X14" s="5">
        <v>0</v>
      </c>
    </row>
    <row r="15" spans="1:24" s="20" customFormat="1" ht="17" x14ac:dyDescent="0.2">
      <c r="A15" s="4" t="s">
        <v>49</v>
      </c>
      <c r="B15" s="5">
        <v>1996867</v>
      </c>
      <c r="C15" s="5" t="s">
        <v>118</v>
      </c>
      <c r="D15" s="5">
        <f t="shared" si="2"/>
        <v>-1</v>
      </c>
      <c r="E15" s="5">
        <v>-10</v>
      </c>
      <c r="F15" s="5">
        <f t="shared" si="3"/>
        <v>1996877</v>
      </c>
      <c r="G15" s="5">
        <v>1996823</v>
      </c>
      <c r="H15" s="5">
        <v>1996982</v>
      </c>
      <c r="I15" s="5" t="s">
        <v>205</v>
      </c>
      <c r="J15" s="6" t="s">
        <v>206</v>
      </c>
      <c r="K15" s="5">
        <v>1996897</v>
      </c>
      <c r="L15" s="5" t="s">
        <v>175</v>
      </c>
      <c r="M15" s="5" t="s">
        <v>204</v>
      </c>
      <c r="N15" s="5">
        <v>1996895</v>
      </c>
      <c r="O15" s="5">
        <v>1996911</v>
      </c>
      <c r="P15" s="5" t="s">
        <v>211</v>
      </c>
      <c r="Q15" s="5" t="s">
        <v>152</v>
      </c>
      <c r="R15" s="5">
        <v>1996903</v>
      </c>
      <c r="S15" s="5">
        <v>1996925</v>
      </c>
      <c r="T15" s="5">
        <f t="shared" si="9"/>
        <v>80</v>
      </c>
      <c r="U15" s="5">
        <f t="shared" si="10"/>
        <v>102</v>
      </c>
      <c r="V15" s="5" t="s">
        <v>212</v>
      </c>
      <c r="W15" s="5" t="s">
        <v>152</v>
      </c>
      <c r="X15" s="5">
        <v>0</v>
      </c>
    </row>
    <row r="16" spans="1:24" s="20" customFormat="1" x14ac:dyDescent="0.2">
      <c r="A16" s="4" t="s">
        <v>138</v>
      </c>
      <c r="B16" s="5">
        <v>3155262</v>
      </c>
      <c r="C16" s="5" t="s">
        <v>118</v>
      </c>
      <c r="D16" s="5">
        <f t="shared" si="2"/>
        <v>-1</v>
      </c>
      <c r="E16" s="5">
        <v>1</v>
      </c>
      <c r="F16" s="5">
        <f t="shared" si="3"/>
        <v>3155261</v>
      </c>
      <c r="G16" s="5">
        <v>3155218</v>
      </c>
      <c r="H16" s="5">
        <f>G16+160-1</f>
        <v>3155377</v>
      </c>
      <c r="I16" s="5" t="s">
        <v>128</v>
      </c>
      <c r="J16" s="5" t="s">
        <v>129</v>
      </c>
      <c r="K16" s="5">
        <v>3155384</v>
      </c>
      <c r="L16" s="5" t="s">
        <v>132</v>
      </c>
      <c r="M16" s="4" t="s">
        <v>133</v>
      </c>
      <c r="N16" s="5">
        <v>3155355</v>
      </c>
      <c r="O16" s="5">
        <v>3155384</v>
      </c>
      <c r="P16" s="5" t="s">
        <v>146</v>
      </c>
      <c r="Q16" s="5" t="s">
        <v>144</v>
      </c>
      <c r="R16" s="5">
        <v>3155336</v>
      </c>
      <c r="S16" s="5">
        <v>3155365</v>
      </c>
      <c r="T16" s="5">
        <f t="shared" si="9"/>
        <v>118</v>
      </c>
      <c r="U16" s="5">
        <f t="shared" si="10"/>
        <v>147</v>
      </c>
      <c r="V16" s="5" t="s">
        <v>147</v>
      </c>
      <c r="W16" s="5" t="s">
        <v>144</v>
      </c>
      <c r="X16" s="5">
        <v>0</v>
      </c>
    </row>
    <row r="17" spans="1:24" s="20" customFormat="1" x14ac:dyDescent="0.2">
      <c r="A17" s="4" t="s">
        <v>138</v>
      </c>
      <c r="B17" s="5">
        <v>3155262</v>
      </c>
      <c r="C17" s="5" t="s">
        <v>118</v>
      </c>
      <c r="D17" s="5">
        <f t="shared" si="2"/>
        <v>-1</v>
      </c>
      <c r="E17" s="5">
        <v>1</v>
      </c>
      <c r="F17" s="5">
        <f t="shared" ref="F17" si="11">B17+D17*E17</f>
        <v>3155261</v>
      </c>
      <c r="G17" s="5">
        <v>3155218</v>
      </c>
      <c r="H17" s="5">
        <f t="shared" ref="H17:H18" si="12">G17+160-1</f>
        <v>3155377</v>
      </c>
      <c r="I17" s="5" t="s">
        <v>128</v>
      </c>
      <c r="J17" s="5" t="s">
        <v>129</v>
      </c>
      <c r="K17" s="5">
        <v>3155384</v>
      </c>
      <c r="L17" s="5" t="s">
        <v>132</v>
      </c>
      <c r="M17" s="4" t="s">
        <v>133</v>
      </c>
      <c r="N17" s="5">
        <v>3155238</v>
      </c>
      <c r="O17" s="5">
        <v>3155261</v>
      </c>
      <c r="P17" s="5" t="s">
        <v>142</v>
      </c>
      <c r="Q17" s="5" t="s">
        <v>135</v>
      </c>
      <c r="R17" s="5">
        <v>3155220</v>
      </c>
      <c r="S17" s="5">
        <v>3155250</v>
      </c>
      <c r="T17" s="5">
        <f t="shared" si="9"/>
        <v>2</v>
      </c>
      <c r="U17" s="5">
        <f t="shared" si="10"/>
        <v>32</v>
      </c>
      <c r="V17" s="5" t="s">
        <v>145</v>
      </c>
      <c r="W17" s="5" t="s">
        <v>135</v>
      </c>
      <c r="X17" s="5">
        <v>0</v>
      </c>
    </row>
    <row r="18" spans="1:24" s="20" customFormat="1" ht="19" customHeight="1" x14ac:dyDescent="0.2">
      <c r="A18" s="4" t="s">
        <v>35</v>
      </c>
      <c r="B18" s="5">
        <v>3155262</v>
      </c>
      <c r="C18" s="5" t="s">
        <v>118</v>
      </c>
      <c r="D18" s="5">
        <f t="shared" si="2"/>
        <v>-1</v>
      </c>
      <c r="E18" s="5">
        <v>1</v>
      </c>
      <c r="F18" s="5">
        <f t="shared" si="3"/>
        <v>3155261</v>
      </c>
      <c r="G18" s="5">
        <v>3155218</v>
      </c>
      <c r="H18" s="5">
        <f t="shared" si="12"/>
        <v>3155377</v>
      </c>
      <c r="I18" s="5" t="s">
        <v>128</v>
      </c>
      <c r="J18" s="5" t="s">
        <v>129</v>
      </c>
      <c r="K18" s="5">
        <v>3155384</v>
      </c>
      <c r="L18" s="5" t="s">
        <v>132</v>
      </c>
      <c r="M18" s="4" t="s">
        <v>133</v>
      </c>
      <c r="N18" s="5">
        <v>3155217</v>
      </c>
      <c r="O18" s="5">
        <v>3155240</v>
      </c>
      <c r="P18" s="5" t="s">
        <v>134</v>
      </c>
      <c r="Q18" s="5" t="s">
        <v>135</v>
      </c>
      <c r="R18" s="5">
        <v>3155220</v>
      </c>
      <c r="S18" s="5">
        <v>3155250</v>
      </c>
      <c r="T18" s="5">
        <f t="shared" si="9"/>
        <v>2</v>
      </c>
      <c r="U18" s="5">
        <f t="shared" si="10"/>
        <v>32</v>
      </c>
      <c r="V18" s="5" t="s">
        <v>145</v>
      </c>
      <c r="W18" s="5" t="s">
        <v>135</v>
      </c>
      <c r="X18" s="5">
        <v>0</v>
      </c>
    </row>
    <row r="19" spans="1:24" s="20" customFormat="1" ht="17" x14ac:dyDescent="0.2">
      <c r="A19" s="4" t="s">
        <v>213</v>
      </c>
      <c r="B19" s="5">
        <v>3836664</v>
      </c>
      <c r="C19" s="5" t="s">
        <v>118</v>
      </c>
      <c r="D19" s="5">
        <f t="shared" si="2"/>
        <v>-1</v>
      </c>
      <c r="E19" s="5">
        <v>0</v>
      </c>
      <c r="F19" s="5">
        <f t="shared" ref="F19" si="13">B19+D19*E19</f>
        <v>3836664</v>
      </c>
      <c r="G19" s="5">
        <v>3836620</v>
      </c>
      <c r="H19" s="5">
        <v>3836779</v>
      </c>
      <c r="I19" s="5" t="s">
        <v>214</v>
      </c>
      <c r="J19" s="6" t="s">
        <v>217</v>
      </c>
      <c r="K19" s="5">
        <v>3836664</v>
      </c>
      <c r="L19" s="5" t="s">
        <v>132</v>
      </c>
      <c r="M19" s="5" t="s">
        <v>215</v>
      </c>
      <c r="N19" s="5" t="s">
        <v>143</v>
      </c>
      <c r="O19" s="5" t="s">
        <v>143</v>
      </c>
      <c r="P19" s="5" t="s">
        <v>143</v>
      </c>
      <c r="Q19" s="5" t="s">
        <v>218</v>
      </c>
      <c r="R19" s="5">
        <f>S19-10</f>
        <v>3836730</v>
      </c>
      <c r="S19" s="5">
        <v>3836740</v>
      </c>
      <c r="T19" s="5">
        <f t="shared" si="9"/>
        <v>110</v>
      </c>
      <c r="U19" s="5">
        <f t="shared" si="10"/>
        <v>120</v>
      </c>
      <c r="V19" s="5" t="s">
        <v>219</v>
      </c>
      <c r="W19" s="5" t="s">
        <v>144</v>
      </c>
      <c r="X19" s="5">
        <v>1</v>
      </c>
    </row>
    <row r="20" spans="1:24" s="20" customFormat="1" ht="17" x14ac:dyDescent="0.2">
      <c r="A20" s="4" t="s">
        <v>213</v>
      </c>
      <c r="B20" s="5">
        <v>3836664</v>
      </c>
      <c r="C20" s="5" t="s">
        <v>118</v>
      </c>
      <c r="D20" s="5">
        <f t="shared" si="2"/>
        <v>-1</v>
      </c>
      <c r="E20" s="5">
        <v>0</v>
      </c>
      <c r="F20" s="5">
        <f t="shared" si="3"/>
        <v>3836664</v>
      </c>
      <c r="G20" s="5">
        <v>3836620</v>
      </c>
      <c r="H20" s="5">
        <v>3836779</v>
      </c>
      <c r="I20" s="5" t="s">
        <v>214</v>
      </c>
      <c r="J20" s="6" t="s">
        <v>217</v>
      </c>
      <c r="K20" s="5">
        <v>3836664</v>
      </c>
      <c r="L20" s="5" t="s">
        <v>132</v>
      </c>
      <c r="M20" s="5" t="s">
        <v>215</v>
      </c>
      <c r="N20" s="5">
        <f>O20-20</f>
        <v>3836644</v>
      </c>
      <c r="O20" s="5">
        <v>3836664</v>
      </c>
      <c r="P20" s="5" t="s">
        <v>216</v>
      </c>
      <c r="Q20" s="5" t="s">
        <v>144</v>
      </c>
      <c r="R20" s="5" t="s">
        <v>143</v>
      </c>
      <c r="S20" s="5" t="s">
        <v>143</v>
      </c>
      <c r="T20" s="5" t="s">
        <v>143</v>
      </c>
      <c r="U20" s="5" t="s">
        <v>143</v>
      </c>
      <c r="V20" s="5" t="s">
        <v>143</v>
      </c>
      <c r="W20" s="5" t="s">
        <v>143</v>
      </c>
      <c r="X20" s="5">
        <v>-1</v>
      </c>
    </row>
    <row r="21" spans="1:24" s="20" customFormat="1" ht="17" x14ac:dyDescent="0.2">
      <c r="A21" s="4" t="s">
        <v>28</v>
      </c>
      <c r="B21" s="5">
        <v>909320</v>
      </c>
      <c r="C21" s="5" t="s">
        <v>118</v>
      </c>
      <c r="D21" s="5">
        <f t="shared" si="2"/>
        <v>-1</v>
      </c>
      <c r="E21" s="5">
        <v>0</v>
      </c>
      <c r="F21" s="5">
        <f t="shared" ref="F21" si="14">B21+D21*E21</f>
        <v>909320</v>
      </c>
      <c r="G21" s="5">
        <v>909276</v>
      </c>
      <c r="H21" s="5">
        <v>909435</v>
      </c>
      <c r="I21" s="5" t="s">
        <v>223</v>
      </c>
      <c r="J21" s="6" t="s">
        <v>222</v>
      </c>
      <c r="K21" s="5">
        <v>909320</v>
      </c>
      <c r="L21" s="5" t="s">
        <v>109</v>
      </c>
      <c r="M21" s="5" t="s">
        <v>221</v>
      </c>
      <c r="N21" s="5">
        <v>909300</v>
      </c>
      <c r="O21" s="5">
        <v>909320</v>
      </c>
      <c r="P21" s="5" t="s">
        <v>224</v>
      </c>
      <c r="Q21" s="5" t="s">
        <v>225</v>
      </c>
      <c r="R21" s="5">
        <v>909290</v>
      </c>
      <c r="S21" s="5">
        <v>909310</v>
      </c>
      <c r="T21" s="5">
        <f t="shared" ref="T21:T44" si="15">R21-G21</f>
        <v>14</v>
      </c>
      <c r="U21" s="5">
        <f t="shared" ref="U21:U44" si="16">S21-G21</f>
        <v>34</v>
      </c>
      <c r="V21" s="5" t="s">
        <v>226</v>
      </c>
      <c r="W21" s="5" t="s">
        <v>144</v>
      </c>
      <c r="X21" s="5">
        <v>0</v>
      </c>
    </row>
    <row r="22" spans="1:24" s="20" customFormat="1" ht="17" x14ac:dyDescent="0.2">
      <c r="A22" s="4" t="s">
        <v>28</v>
      </c>
      <c r="B22" s="5">
        <v>909320</v>
      </c>
      <c r="C22" s="5" t="s">
        <v>118</v>
      </c>
      <c r="D22" s="5">
        <f t="shared" si="2"/>
        <v>-1</v>
      </c>
      <c r="E22" s="5">
        <v>0</v>
      </c>
      <c r="F22" s="5">
        <f t="shared" si="3"/>
        <v>909320</v>
      </c>
      <c r="G22" s="5">
        <v>909276</v>
      </c>
      <c r="H22" s="5">
        <v>909435</v>
      </c>
      <c r="I22" s="5" t="s">
        <v>223</v>
      </c>
      <c r="J22" s="6" t="s">
        <v>222</v>
      </c>
      <c r="K22" s="5">
        <v>909320</v>
      </c>
      <c r="L22" s="5" t="s">
        <v>109</v>
      </c>
      <c r="M22" s="5" t="s">
        <v>221</v>
      </c>
      <c r="N22" s="5" t="s">
        <v>143</v>
      </c>
      <c r="O22" s="5" t="s">
        <v>143</v>
      </c>
      <c r="P22" s="5" t="s">
        <v>143</v>
      </c>
      <c r="Q22" s="5" t="s">
        <v>143</v>
      </c>
      <c r="R22" s="5">
        <v>909400</v>
      </c>
      <c r="S22" s="5">
        <v>909426</v>
      </c>
      <c r="T22" s="5">
        <f t="shared" si="15"/>
        <v>124</v>
      </c>
      <c r="U22" s="5">
        <f t="shared" si="16"/>
        <v>150</v>
      </c>
      <c r="V22" s="5" t="s">
        <v>227</v>
      </c>
      <c r="W22" s="5" t="s">
        <v>152</v>
      </c>
      <c r="X22" s="5">
        <v>1</v>
      </c>
    </row>
    <row r="23" spans="1:24" s="20" customFormat="1" x14ac:dyDescent="0.2">
      <c r="A23" s="4" t="s">
        <v>98</v>
      </c>
      <c r="B23" s="5">
        <v>3350504</v>
      </c>
      <c r="C23" s="5" t="s">
        <v>118</v>
      </c>
      <c r="D23" s="5">
        <f t="shared" si="2"/>
        <v>-1</v>
      </c>
      <c r="E23" s="5">
        <v>-7</v>
      </c>
      <c r="F23" s="5">
        <f t="shared" ref="F23" si="17">B23+D23*E23</f>
        <v>3350511</v>
      </c>
      <c r="G23" s="5">
        <v>3350460</v>
      </c>
      <c r="H23" s="5">
        <v>3350619</v>
      </c>
      <c r="I23" s="5" t="s">
        <v>230</v>
      </c>
      <c r="J23" s="5" t="s">
        <v>231</v>
      </c>
      <c r="K23" s="5">
        <v>3349831</v>
      </c>
      <c r="L23" s="5" t="s">
        <v>175</v>
      </c>
      <c r="M23" s="5" t="s">
        <v>229</v>
      </c>
      <c r="N23" s="5">
        <v>3350541</v>
      </c>
      <c r="O23" s="5">
        <v>3350555</v>
      </c>
      <c r="P23" s="5" t="s">
        <v>232</v>
      </c>
      <c r="Q23" s="5" t="s">
        <v>152</v>
      </c>
      <c r="R23" s="5">
        <v>3350582</v>
      </c>
      <c r="S23" s="5">
        <f>R23+19</f>
        <v>3350601</v>
      </c>
      <c r="T23" s="5">
        <f t="shared" si="15"/>
        <v>122</v>
      </c>
      <c r="U23" s="5">
        <f t="shared" si="16"/>
        <v>141</v>
      </c>
      <c r="V23" s="5" t="s">
        <v>233</v>
      </c>
      <c r="W23" s="5" t="s">
        <v>152</v>
      </c>
      <c r="X23" s="5">
        <v>0</v>
      </c>
    </row>
    <row r="24" spans="1:24" s="20" customFormat="1" x14ac:dyDescent="0.2">
      <c r="A24" s="4" t="s">
        <v>98</v>
      </c>
      <c r="B24" s="5">
        <v>3350504</v>
      </c>
      <c r="C24" s="5" t="s">
        <v>118</v>
      </c>
      <c r="D24" s="5">
        <f t="shared" si="2"/>
        <v>-1</v>
      </c>
      <c r="E24" s="5">
        <v>-7</v>
      </c>
      <c r="F24" s="5">
        <f t="shared" si="3"/>
        <v>3350511</v>
      </c>
      <c r="G24" s="5">
        <v>3350460</v>
      </c>
      <c r="H24" s="5">
        <v>3350619</v>
      </c>
      <c r="I24" s="5" t="s">
        <v>230</v>
      </c>
      <c r="J24" s="5" t="s">
        <v>231</v>
      </c>
      <c r="K24" s="5">
        <v>3349831</v>
      </c>
      <c r="L24" s="5" t="s">
        <v>175</v>
      </c>
      <c r="M24" s="5" t="s">
        <v>229</v>
      </c>
      <c r="N24" s="5" t="s">
        <v>143</v>
      </c>
      <c r="O24" s="5" t="s">
        <v>143</v>
      </c>
      <c r="P24" s="5" t="s">
        <v>143</v>
      </c>
      <c r="Q24" s="5" t="s">
        <v>143</v>
      </c>
      <c r="R24" s="5">
        <f>S24-13</f>
        <v>3350487</v>
      </c>
      <c r="S24" s="5">
        <v>3350500</v>
      </c>
      <c r="T24" s="5">
        <f t="shared" si="15"/>
        <v>27</v>
      </c>
      <c r="U24" s="5">
        <f t="shared" si="16"/>
        <v>40</v>
      </c>
      <c r="V24" s="5" t="s">
        <v>234</v>
      </c>
      <c r="W24" s="5" t="s">
        <v>152</v>
      </c>
      <c r="X24" s="5">
        <v>1</v>
      </c>
    </row>
    <row r="25" spans="1:24" s="20" customFormat="1" x14ac:dyDescent="0.2">
      <c r="A25" s="4" t="s">
        <v>78</v>
      </c>
      <c r="B25" s="5">
        <v>4269355</v>
      </c>
      <c r="C25" s="5" t="s">
        <v>108</v>
      </c>
      <c r="D25" s="5">
        <f t="shared" si="2"/>
        <v>1</v>
      </c>
      <c r="E25" s="5">
        <v>0</v>
      </c>
      <c r="F25" s="5">
        <f t="shared" ref="F25:F26" si="18">B25+D25*E25</f>
        <v>4269355</v>
      </c>
      <c r="G25" s="5">
        <v>4269241</v>
      </c>
      <c r="H25" s="5">
        <f t="shared" ref="H25:H30" si="19">G25+D25*159</f>
        <v>4269400</v>
      </c>
      <c r="I25" s="5" t="s">
        <v>235</v>
      </c>
      <c r="J25" s="5" t="s">
        <v>236</v>
      </c>
      <c r="K25" s="5" t="s">
        <v>143</v>
      </c>
      <c r="L25" s="5" t="s">
        <v>109</v>
      </c>
      <c r="M25" s="4" t="s">
        <v>143</v>
      </c>
      <c r="N25" s="5" t="s">
        <v>143</v>
      </c>
      <c r="O25" s="5" t="s">
        <v>143</v>
      </c>
      <c r="P25" s="5" t="s">
        <v>143</v>
      </c>
      <c r="Q25" s="5" t="s">
        <v>143</v>
      </c>
      <c r="R25" s="5">
        <v>4269279</v>
      </c>
      <c r="S25" s="5">
        <f>R25+14</f>
        <v>4269293</v>
      </c>
      <c r="T25" s="5">
        <f t="shared" si="15"/>
        <v>38</v>
      </c>
      <c r="U25" s="5">
        <f t="shared" si="16"/>
        <v>52</v>
      </c>
      <c r="V25" s="5" t="s">
        <v>237</v>
      </c>
      <c r="W25" s="5" t="s">
        <v>152</v>
      </c>
      <c r="X25" s="5">
        <v>1</v>
      </c>
    </row>
    <row r="26" spans="1:24" s="20" customFormat="1" x14ac:dyDescent="0.2">
      <c r="A26" s="4" t="s">
        <v>78</v>
      </c>
      <c r="B26" s="5">
        <v>4269355</v>
      </c>
      <c r="C26" s="5" t="s">
        <v>108</v>
      </c>
      <c r="D26" s="5">
        <f t="shared" si="2"/>
        <v>1</v>
      </c>
      <c r="E26" s="5">
        <v>0</v>
      </c>
      <c r="F26" s="5">
        <f t="shared" si="18"/>
        <v>4269355</v>
      </c>
      <c r="G26" s="5">
        <v>4269241</v>
      </c>
      <c r="H26" s="5">
        <f t="shared" si="19"/>
        <v>4269400</v>
      </c>
      <c r="I26" s="5" t="s">
        <v>235</v>
      </c>
      <c r="J26" s="5" t="s">
        <v>236</v>
      </c>
      <c r="K26" s="5" t="s">
        <v>143</v>
      </c>
      <c r="L26" s="5" t="s">
        <v>109</v>
      </c>
      <c r="M26" s="4" t="s">
        <v>143</v>
      </c>
      <c r="N26" s="5" t="s">
        <v>143</v>
      </c>
      <c r="O26" s="5" t="s">
        <v>143</v>
      </c>
      <c r="P26" s="5" t="s">
        <v>143</v>
      </c>
      <c r="Q26" s="5" t="s">
        <v>143</v>
      </c>
      <c r="R26" s="5">
        <v>4269293</v>
      </c>
      <c r="S26" s="5">
        <f>R26+17</f>
        <v>4269310</v>
      </c>
      <c r="T26" s="5">
        <f t="shared" si="15"/>
        <v>52</v>
      </c>
      <c r="U26" s="5">
        <f t="shared" si="16"/>
        <v>69</v>
      </c>
      <c r="V26" s="5" t="s">
        <v>238</v>
      </c>
      <c r="W26" s="5" t="s">
        <v>135</v>
      </c>
      <c r="X26" s="5">
        <v>1</v>
      </c>
    </row>
    <row r="27" spans="1:24" s="20" customFormat="1" x14ac:dyDescent="0.2">
      <c r="A27" s="4" t="s">
        <v>78</v>
      </c>
      <c r="B27" s="5">
        <v>4269355</v>
      </c>
      <c r="C27" s="5" t="s">
        <v>108</v>
      </c>
      <c r="D27" s="5">
        <f t="shared" si="2"/>
        <v>1</v>
      </c>
      <c r="E27" s="5">
        <v>0</v>
      </c>
      <c r="F27" s="5">
        <f t="shared" si="3"/>
        <v>4269355</v>
      </c>
      <c r="G27" s="5">
        <v>4269241</v>
      </c>
      <c r="H27" s="5">
        <f t="shared" si="19"/>
        <v>4269400</v>
      </c>
      <c r="I27" s="5" t="s">
        <v>235</v>
      </c>
      <c r="J27" s="5" t="s">
        <v>236</v>
      </c>
      <c r="K27" s="5" t="s">
        <v>143</v>
      </c>
      <c r="L27" s="5" t="s">
        <v>109</v>
      </c>
      <c r="M27" s="4" t="s">
        <v>143</v>
      </c>
      <c r="N27" s="5" t="s">
        <v>143</v>
      </c>
      <c r="O27" s="5" t="s">
        <v>143</v>
      </c>
      <c r="P27" s="5" t="s">
        <v>143</v>
      </c>
      <c r="Q27" s="5" t="s">
        <v>143</v>
      </c>
      <c r="R27" s="5">
        <f>S27-10</f>
        <v>4269350</v>
      </c>
      <c r="S27" s="5">
        <v>4269360</v>
      </c>
      <c r="T27" s="5">
        <f t="shared" si="15"/>
        <v>109</v>
      </c>
      <c r="U27" s="5">
        <f t="shared" si="16"/>
        <v>119</v>
      </c>
      <c r="V27" s="5" t="s">
        <v>239</v>
      </c>
      <c r="W27" s="5" t="s">
        <v>152</v>
      </c>
      <c r="X27" s="5">
        <v>1</v>
      </c>
    </row>
    <row r="28" spans="1:24" s="20" customFormat="1" ht="17" x14ac:dyDescent="0.2">
      <c r="A28" s="4" t="s">
        <v>39</v>
      </c>
      <c r="B28" s="5">
        <v>4474096</v>
      </c>
      <c r="C28" s="5" t="s">
        <v>108</v>
      </c>
      <c r="D28" s="5">
        <f t="shared" si="2"/>
        <v>1</v>
      </c>
      <c r="E28" s="5">
        <v>0</v>
      </c>
      <c r="F28" s="5">
        <f t="shared" ref="F28:F29" si="20">B28+D28*E28</f>
        <v>4474096</v>
      </c>
      <c r="G28" s="5">
        <v>4473982</v>
      </c>
      <c r="H28" s="5">
        <f t="shared" si="19"/>
        <v>4474141</v>
      </c>
      <c r="I28" s="5" t="s">
        <v>241</v>
      </c>
      <c r="J28" s="6" t="s">
        <v>250</v>
      </c>
      <c r="K28" s="5">
        <v>4474096</v>
      </c>
      <c r="L28" s="5" t="s">
        <v>175</v>
      </c>
      <c r="M28" s="5" t="s">
        <v>240</v>
      </c>
      <c r="N28" s="5">
        <v>4474064</v>
      </c>
      <c r="O28" s="5">
        <f>N28+12</f>
        <v>4474076</v>
      </c>
      <c r="P28" s="5" t="s">
        <v>246</v>
      </c>
      <c r="Q28" s="5" t="s">
        <v>218</v>
      </c>
      <c r="R28" s="5">
        <v>4474060</v>
      </c>
      <c r="S28" s="5">
        <f>R28+18</f>
        <v>4474078</v>
      </c>
      <c r="T28" s="5">
        <f t="shared" si="15"/>
        <v>78</v>
      </c>
      <c r="U28" s="5">
        <f t="shared" si="16"/>
        <v>96</v>
      </c>
      <c r="V28" s="5" t="s">
        <v>247</v>
      </c>
      <c r="W28" s="5" t="s">
        <v>144</v>
      </c>
      <c r="X28" s="5">
        <v>0</v>
      </c>
    </row>
    <row r="29" spans="1:24" s="20" customFormat="1" ht="17" x14ac:dyDescent="0.2">
      <c r="A29" s="4" t="s">
        <v>39</v>
      </c>
      <c r="B29" s="5">
        <v>4474096</v>
      </c>
      <c r="C29" s="5" t="s">
        <v>108</v>
      </c>
      <c r="D29" s="5">
        <f t="shared" si="2"/>
        <v>1</v>
      </c>
      <c r="E29" s="5">
        <v>0</v>
      </c>
      <c r="F29" s="5">
        <f t="shared" si="20"/>
        <v>4474096</v>
      </c>
      <c r="G29" s="5">
        <v>4473982</v>
      </c>
      <c r="H29" s="5">
        <f t="shared" si="19"/>
        <v>4474141</v>
      </c>
      <c r="I29" s="5" t="s">
        <v>241</v>
      </c>
      <c r="J29" s="6" t="s">
        <v>250</v>
      </c>
      <c r="K29" s="5">
        <v>4474096</v>
      </c>
      <c r="L29" s="5" t="s">
        <v>175</v>
      </c>
      <c r="M29" s="5" t="s">
        <v>240</v>
      </c>
      <c r="N29" s="5">
        <v>4474077</v>
      </c>
      <c r="O29" s="5">
        <f>N29+10</f>
        <v>4474087</v>
      </c>
      <c r="P29" s="5" t="s">
        <v>244</v>
      </c>
      <c r="Q29" s="5" t="s">
        <v>152</v>
      </c>
      <c r="R29" s="5">
        <v>4474075</v>
      </c>
      <c r="S29" s="5">
        <f>R29+13</f>
        <v>4474088</v>
      </c>
      <c r="T29" s="5">
        <f t="shared" si="15"/>
        <v>93</v>
      </c>
      <c r="U29" s="5">
        <f t="shared" si="16"/>
        <v>106</v>
      </c>
      <c r="V29" s="5" t="s">
        <v>245</v>
      </c>
      <c r="W29" s="5" t="s">
        <v>152</v>
      </c>
      <c r="X29" s="5">
        <v>0</v>
      </c>
    </row>
    <row r="30" spans="1:24" s="20" customFormat="1" x14ac:dyDescent="0.2">
      <c r="A30" s="4" t="s">
        <v>39</v>
      </c>
      <c r="B30" s="5">
        <v>4474096</v>
      </c>
      <c r="C30" s="5" t="s">
        <v>108</v>
      </c>
      <c r="D30" s="5">
        <f t="shared" si="2"/>
        <v>1</v>
      </c>
      <c r="E30" s="5">
        <v>0</v>
      </c>
      <c r="F30" s="5">
        <f t="shared" si="3"/>
        <v>4474096</v>
      </c>
      <c r="G30" s="5">
        <v>4473982</v>
      </c>
      <c r="H30" s="5">
        <f t="shared" si="19"/>
        <v>4474141</v>
      </c>
      <c r="I30" s="5" t="s">
        <v>241</v>
      </c>
      <c r="J30" s="5" t="s">
        <v>250</v>
      </c>
      <c r="K30" s="5">
        <v>4474096</v>
      </c>
      <c r="L30" s="5" t="s">
        <v>175</v>
      </c>
      <c r="M30" s="5" t="s">
        <v>240</v>
      </c>
      <c r="N30" s="5">
        <v>4474096</v>
      </c>
      <c r="O30" s="5">
        <f>N30+20</f>
        <v>4474116</v>
      </c>
      <c r="P30" s="5" t="s">
        <v>242</v>
      </c>
      <c r="Q30" s="5" t="s">
        <v>144</v>
      </c>
      <c r="R30" s="5">
        <v>4474094</v>
      </c>
      <c r="S30" s="5">
        <v>4474110</v>
      </c>
      <c r="T30" s="5">
        <f t="shared" si="15"/>
        <v>112</v>
      </c>
      <c r="U30" s="5">
        <f t="shared" si="16"/>
        <v>128</v>
      </c>
      <c r="V30" s="5" t="s">
        <v>243</v>
      </c>
      <c r="W30" s="5" t="s">
        <v>144</v>
      </c>
      <c r="X30" s="5">
        <v>0</v>
      </c>
    </row>
    <row r="31" spans="1:24" s="20" customFormat="1" ht="17" x14ac:dyDescent="0.2">
      <c r="A31" s="4" t="s">
        <v>102</v>
      </c>
      <c r="B31" s="5">
        <v>1523276</v>
      </c>
      <c r="C31" s="5" t="s">
        <v>118</v>
      </c>
      <c r="D31" s="5">
        <f t="shared" si="2"/>
        <v>-1</v>
      </c>
      <c r="E31" s="5">
        <v>0</v>
      </c>
      <c r="F31" s="5">
        <f t="shared" si="3"/>
        <v>1523276</v>
      </c>
      <c r="G31" s="5">
        <v>1523232</v>
      </c>
      <c r="H31" s="5">
        <v>1523391</v>
      </c>
      <c r="I31" s="5" t="s">
        <v>251</v>
      </c>
      <c r="J31" s="6" t="s">
        <v>252</v>
      </c>
      <c r="K31" s="5">
        <v>1523276</v>
      </c>
      <c r="L31" s="5" t="s">
        <v>248</v>
      </c>
      <c r="M31" s="5" t="s">
        <v>249</v>
      </c>
      <c r="N31" s="5">
        <f>O31-20</f>
        <v>1523256</v>
      </c>
      <c r="O31" s="5">
        <v>1523276</v>
      </c>
      <c r="P31" s="5" t="s">
        <v>253</v>
      </c>
      <c r="Q31" s="5" t="s">
        <v>144</v>
      </c>
      <c r="R31" s="5">
        <v>1523258</v>
      </c>
      <c r="S31" s="5">
        <v>1523280</v>
      </c>
      <c r="T31" s="5">
        <f t="shared" si="15"/>
        <v>26</v>
      </c>
      <c r="U31" s="5">
        <f t="shared" si="16"/>
        <v>48</v>
      </c>
      <c r="V31" s="5" t="s">
        <v>254</v>
      </c>
      <c r="W31" s="5" t="s">
        <v>144</v>
      </c>
      <c r="X31" s="5">
        <v>0</v>
      </c>
    </row>
    <row r="32" spans="1:24" s="20" customFormat="1" ht="17" x14ac:dyDescent="0.2">
      <c r="A32" s="4" t="s">
        <v>22</v>
      </c>
      <c r="B32" s="5">
        <v>897947</v>
      </c>
      <c r="C32" s="5" t="s">
        <v>108</v>
      </c>
      <c r="D32" s="5">
        <f t="shared" si="2"/>
        <v>1</v>
      </c>
      <c r="E32" s="5">
        <v>0</v>
      </c>
      <c r="F32" s="5">
        <f t="shared" si="3"/>
        <v>897947</v>
      </c>
      <c r="G32" s="5">
        <v>897833</v>
      </c>
      <c r="H32" s="5">
        <f>G32+D32*159</f>
        <v>897992</v>
      </c>
      <c r="I32" s="5" t="s">
        <v>256</v>
      </c>
      <c r="J32" s="6" t="s">
        <v>255</v>
      </c>
      <c r="K32" s="5" t="s">
        <v>109</v>
      </c>
      <c r="L32" s="5" t="s">
        <v>143</v>
      </c>
      <c r="M32" s="4" t="s">
        <v>143</v>
      </c>
      <c r="N32" s="5">
        <v>897947</v>
      </c>
      <c r="O32" s="5">
        <f>N32+20</f>
        <v>897967</v>
      </c>
      <c r="P32" s="5" t="s">
        <v>257</v>
      </c>
      <c r="Q32" s="5" t="s">
        <v>218</v>
      </c>
      <c r="R32" s="5">
        <v>897915</v>
      </c>
      <c r="S32" s="5">
        <v>897950</v>
      </c>
      <c r="T32" s="5">
        <f t="shared" si="15"/>
        <v>82</v>
      </c>
      <c r="U32" s="5">
        <f t="shared" si="16"/>
        <v>117</v>
      </c>
      <c r="V32" s="5" t="s">
        <v>258</v>
      </c>
      <c r="W32" s="5" t="s">
        <v>144</v>
      </c>
      <c r="X32" s="5">
        <v>1</v>
      </c>
    </row>
    <row r="33" spans="1:24" s="20" customFormat="1" ht="17" x14ac:dyDescent="0.2">
      <c r="A33" s="4" t="s">
        <v>30</v>
      </c>
      <c r="B33" s="5">
        <v>2690181</v>
      </c>
      <c r="C33" s="5" t="s">
        <v>118</v>
      </c>
      <c r="D33" s="5">
        <f t="shared" si="2"/>
        <v>-1</v>
      </c>
      <c r="E33" s="5">
        <v>0</v>
      </c>
      <c r="F33" s="5">
        <f t="shared" si="3"/>
        <v>2690181</v>
      </c>
      <c r="G33" s="5">
        <v>2690137</v>
      </c>
      <c r="H33" s="5">
        <v>2690296</v>
      </c>
      <c r="I33" s="5" t="s">
        <v>259</v>
      </c>
      <c r="J33" s="6" t="s">
        <v>260</v>
      </c>
      <c r="K33" s="5" t="s">
        <v>109</v>
      </c>
      <c r="L33" s="5" t="s">
        <v>143</v>
      </c>
      <c r="M33" s="4" t="s">
        <v>143</v>
      </c>
      <c r="N33" s="5" t="s">
        <v>143</v>
      </c>
      <c r="O33" s="5" t="s">
        <v>143</v>
      </c>
      <c r="P33" s="5" t="s">
        <v>143</v>
      </c>
      <c r="Q33" s="5" t="s">
        <v>143</v>
      </c>
      <c r="R33" s="5">
        <f>S33-23</f>
        <v>2690234</v>
      </c>
      <c r="S33" s="5">
        <v>2690257</v>
      </c>
      <c r="T33" s="5">
        <f t="shared" si="15"/>
        <v>97</v>
      </c>
      <c r="U33" s="5">
        <f t="shared" si="16"/>
        <v>120</v>
      </c>
      <c r="V33" s="5" t="s">
        <v>261</v>
      </c>
      <c r="W33" s="5" t="s">
        <v>135</v>
      </c>
      <c r="X33" s="5">
        <v>1</v>
      </c>
    </row>
    <row r="34" spans="1:24" s="20" customFormat="1" ht="17" x14ac:dyDescent="0.2">
      <c r="A34" s="4" t="s">
        <v>14</v>
      </c>
      <c r="B34" s="5">
        <v>1116709</v>
      </c>
      <c r="C34" s="5" t="s">
        <v>118</v>
      </c>
      <c r="D34" s="5">
        <f t="shared" si="2"/>
        <v>-1</v>
      </c>
      <c r="E34" s="5">
        <v>0</v>
      </c>
      <c r="F34" s="5">
        <f t="shared" si="3"/>
        <v>1116709</v>
      </c>
      <c r="G34" s="5">
        <v>1116665</v>
      </c>
      <c r="H34" s="5">
        <v>1116824</v>
      </c>
      <c r="I34" s="5" t="s">
        <v>263</v>
      </c>
      <c r="J34" s="6" t="s">
        <v>262</v>
      </c>
      <c r="K34" s="5" t="s">
        <v>109</v>
      </c>
      <c r="L34" s="5" t="s">
        <v>143</v>
      </c>
      <c r="M34" s="4" t="s">
        <v>143</v>
      </c>
      <c r="N34" s="5">
        <f>O34-20</f>
        <v>1116689</v>
      </c>
      <c r="O34" s="5">
        <v>1116709</v>
      </c>
      <c r="P34" s="5" t="s">
        <v>264</v>
      </c>
      <c r="Q34" s="5" t="s">
        <v>165</v>
      </c>
      <c r="R34" s="5">
        <v>1116680</v>
      </c>
      <c r="S34" s="5">
        <f>R34+15</f>
        <v>1116695</v>
      </c>
      <c r="T34" s="5">
        <f t="shared" si="15"/>
        <v>15</v>
      </c>
      <c r="U34" s="5">
        <f t="shared" si="16"/>
        <v>30</v>
      </c>
      <c r="V34" s="5" t="s">
        <v>265</v>
      </c>
      <c r="W34" s="5" t="s">
        <v>144</v>
      </c>
      <c r="X34" s="5">
        <v>0</v>
      </c>
    </row>
    <row r="35" spans="1:24" s="20" customFormat="1" ht="17" x14ac:dyDescent="0.2">
      <c r="A35" s="4" t="s">
        <v>79</v>
      </c>
      <c r="B35" s="5">
        <v>2876547</v>
      </c>
      <c r="C35" s="5" t="s">
        <v>108</v>
      </c>
      <c r="D35" s="5">
        <f t="shared" si="2"/>
        <v>1</v>
      </c>
      <c r="E35" s="5">
        <v>3</v>
      </c>
      <c r="F35" s="5">
        <f t="shared" si="3"/>
        <v>2876550</v>
      </c>
      <c r="G35" s="5">
        <v>2876433</v>
      </c>
      <c r="H35" s="5">
        <f>G35+D35*159</f>
        <v>2876592</v>
      </c>
      <c r="I35" s="5" t="s">
        <v>266</v>
      </c>
      <c r="J35" s="6" t="s">
        <v>267</v>
      </c>
      <c r="K35" s="5">
        <v>2876544</v>
      </c>
      <c r="L35" s="5" t="s">
        <v>132</v>
      </c>
      <c r="M35" s="5" t="s">
        <v>268</v>
      </c>
      <c r="N35" s="5">
        <v>2876544</v>
      </c>
      <c r="O35" s="5">
        <f>N35+21</f>
        <v>2876565</v>
      </c>
      <c r="P35" s="5" t="s">
        <v>269</v>
      </c>
      <c r="Q35" s="5" t="s">
        <v>144</v>
      </c>
      <c r="R35" s="5">
        <v>2876538</v>
      </c>
      <c r="S35" s="5">
        <f>R35+10</f>
        <v>2876548</v>
      </c>
      <c r="T35" s="5">
        <f t="shared" si="15"/>
        <v>105</v>
      </c>
      <c r="U35" s="5">
        <f t="shared" si="16"/>
        <v>115</v>
      </c>
      <c r="V35" s="5" t="s">
        <v>270</v>
      </c>
      <c r="W35" s="5" t="s">
        <v>144</v>
      </c>
      <c r="X35" s="5">
        <v>0</v>
      </c>
    </row>
    <row r="36" spans="1:24" s="20" customFormat="1" ht="17" x14ac:dyDescent="0.2">
      <c r="A36" s="4" t="s">
        <v>79</v>
      </c>
      <c r="B36" s="5">
        <v>2876547</v>
      </c>
      <c r="C36" s="5" t="s">
        <v>108</v>
      </c>
      <c r="D36" s="5">
        <f t="shared" si="2"/>
        <v>1</v>
      </c>
      <c r="E36" s="5">
        <v>3</v>
      </c>
      <c r="F36" s="5">
        <f t="shared" ref="F36" si="21">B36+D36*E36</f>
        <v>2876550</v>
      </c>
      <c r="G36" s="5">
        <v>2876433</v>
      </c>
      <c r="H36" s="5">
        <f>G36+D36*159</f>
        <v>2876592</v>
      </c>
      <c r="I36" s="5" t="s">
        <v>266</v>
      </c>
      <c r="J36" s="6" t="s">
        <v>267</v>
      </c>
      <c r="K36" s="5">
        <v>2876544</v>
      </c>
      <c r="L36" s="5" t="s">
        <v>132</v>
      </c>
      <c r="M36" s="5" t="s">
        <v>268</v>
      </c>
      <c r="N36" s="5" t="s">
        <v>143</v>
      </c>
      <c r="O36" s="5" t="s">
        <v>143</v>
      </c>
      <c r="P36" s="5" t="s">
        <v>143</v>
      </c>
      <c r="Q36" s="5" t="s">
        <v>143</v>
      </c>
      <c r="R36" s="5">
        <f>S36-14</f>
        <v>2876459</v>
      </c>
      <c r="S36" s="5">
        <v>2876473</v>
      </c>
      <c r="T36" s="5">
        <f t="shared" si="15"/>
        <v>26</v>
      </c>
      <c r="U36" s="5">
        <f t="shared" si="16"/>
        <v>40</v>
      </c>
      <c r="V36" s="5" t="s">
        <v>271</v>
      </c>
      <c r="W36" s="5" t="s">
        <v>135</v>
      </c>
      <c r="X36" s="5">
        <v>1</v>
      </c>
    </row>
    <row r="37" spans="1:24" s="20" customFormat="1" ht="17" x14ac:dyDescent="0.2">
      <c r="A37" s="4" t="s">
        <v>67</v>
      </c>
      <c r="B37" s="5">
        <v>3235915</v>
      </c>
      <c r="C37" s="5" t="s">
        <v>108</v>
      </c>
      <c r="D37" s="5">
        <f t="shared" si="2"/>
        <v>1</v>
      </c>
      <c r="E37" s="5">
        <v>0</v>
      </c>
      <c r="F37" s="5">
        <f t="shared" si="3"/>
        <v>3235915</v>
      </c>
      <c r="G37" s="5">
        <v>3235801</v>
      </c>
      <c r="H37" s="5">
        <f>G37+D37*159</f>
        <v>3235960</v>
      </c>
      <c r="I37" s="5" t="s">
        <v>273</v>
      </c>
      <c r="J37" s="6" t="s">
        <v>272</v>
      </c>
      <c r="K37" s="5" t="s">
        <v>109</v>
      </c>
      <c r="L37" s="5" t="s">
        <v>143</v>
      </c>
      <c r="M37" s="4" t="s">
        <v>143</v>
      </c>
      <c r="N37" s="5" t="s">
        <v>143</v>
      </c>
      <c r="O37" s="5" t="s">
        <v>143</v>
      </c>
      <c r="P37" s="5" t="s">
        <v>143</v>
      </c>
      <c r="Q37" s="5" t="s">
        <v>143</v>
      </c>
      <c r="R37" s="5">
        <v>3235879</v>
      </c>
      <c r="S37" s="5">
        <f>R37+20</f>
        <v>3235899</v>
      </c>
      <c r="T37" s="5">
        <f t="shared" si="15"/>
        <v>78</v>
      </c>
      <c r="U37" s="5">
        <f t="shared" si="16"/>
        <v>98</v>
      </c>
      <c r="V37" s="5" t="s">
        <v>274</v>
      </c>
      <c r="W37" s="5" t="s">
        <v>144</v>
      </c>
      <c r="X37" s="5">
        <v>1</v>
      </c>
    </row>
    <row r="38" spans="1:24" s="20" customFormat="1" ht="17" x14ac:dyDescent="0.2">
      <c r="A38" s="4" t="s">
        <v>67</v>
      </c>
      <c r="B38" s="5">
        <v>3235915</v>
      </c>
      <c r="C38" s="5" t="s">
        <v>108</v>
      </c>
      <c r="D38" s="5">
        <f t="shared" si="2"/>
        <v>1</v>
      </c>
      <c r="E38" s="5">
        <v>0</v>
      </c>
      <c r="F38" s="5">
        <f t="shared" ref="F38" si="22">B38+D38*E38</f>
        <v>3235915</v>
      </c>
      <c r="G38" s="5">
        <v>3235801</v>
      </c>
      <c r="H38" s="5">
        <f>G38+D38*159</f>
        <v>3235960</v>
      </c>
      <c r="I38" s="5" t="s">
        <v>273</v>
      </c>
      <c r="J38" s="6" t="s">
        <v>272</v>
      </c>
      <c r="K38" s="5" t="s">
        <v>109</v>
      </c>
      <c r="L38" s="5" t="s">
        <v>143</v>
      </c>
      <c r="M38" s="4" t="s">
        <v>143</v>
      </c>
      <c r="N38" s="5" t="s">
        <v>143</v>
      </c>
      <c r="O38" s="5" t="s">
        <v>143</v>
      </c>
      <c r="P38" s="5" t="s">
        <v>143</v>
      </c>
      <c r="Q38" s="5" t="s">
        <v>143</v>
      </c>
      <c r="R38" s="5">
        <v>3235841</v>
      </c>
      <c r="S38" s="5">
        <f>R38+11</f>
        <v>3235852</v>
      </c>
      <c r="T38" s="5">
        <f t="shared" si="15"/>
        <v>40</v>
      </c>
      <c r="U38" s="5">
        <f t="shared" si="16"/>
        <v>51</v>
      </c>
      <c r="V38" s="5" t="s">
        <v>275</v>
      </c>
      <c r="W38" s="5" t="s">
        <v>135</v>
      </c>
      <c r="X38" s="5">
        <v>1</v>
      </c>
    </row>
    <row r="39" spans="1:24" s="20" customFormat="1" ht="17" x14ac:dyDescent="0.2">
      <c r="A39" s="4" t="s">
        <v>47</v>
      </c>
      <c r="B39" s="5">
        <v>2009776</v>
      </c>
      <c r="C39" s="5" t="s">
        <v>108</v>
      </c>
      <c r="D39" s="5">
        <f t="shared" si="2"/>
        <v>1</v>
      </c>
      <c r="E39" s="5">
        <v>0</v>
      </c>
      <c r="F39" s="5">
        <f t="shared" si="3"/>
        <v>2009776</v>
      </c>
      <c r="G39" s="5">
        <v>2009662</v>
      </c>
      <c r="H39" s="5">
        <v>2009821</v>
      </c>
      <c r="I39" s="5" t="s">
        <v>277</v>
      </c>
      <c r="J39" s="6" t="s">
        <v>276</v>
      </c>
      <c r="K39" s="5" t="s">
        <v>109</v>
      </c>
      <c r="L39" s="5" t="s">
        <v>143</v>
      </c>
      <c r="M39" s="4" t="s">
        <v>143</v>
      </c>
      <c r="N39" s="5" t="s">
        <v>143</v>
      </c>
      <c r="O39" s="5" t="s">
        <v>143</v>
      </c>
      <c r="P39" s="5" t="s">
        <v>143</v>
      </c>
      <c r="Q39" s="5" t="s">
        <v>143</v>
      </c>
      <c r="R39" s="5">
        <v>2009750</v>
      </c>
      <c r="S39" s="5">
        <f>R39+10</f>
        <v>2009760</v>
      </c>
      <c r="T39" s="5">
        <f t="shared" si="15"/>
        <v>88</v>
      </c>
      <c r="U39" s="5">
        <f t="shared" si="16"/>
        <v>98</v>
      </c>
      <c r="V39" s="5" t="s">
        <v>278</v>
      </c>
      <c r="W39" s="5" t="s">
        <v>135</v>
      </c>
      <c r="X39" s="5">
        <v>1</v>
      </c>
    </row>
    <row r="40" spans="1:24" s="20" customFormat="1" ht="17" x14ac:dyDescent="0.2">
      <c r="A40" s="4" t="s">
        <v>47</v>
      </c>
      <c r="B40" s="5">
        <v>2009776</v>
      </c>
      <c r="C40" s="5" t="s">
        <v>108</v>
      </c>
      <c r="D40" s="5">
        <f t="shared" si="2"/>
        <v>1</v>
      </c>
      <c r="E40" s="5">
        <v>0</v>
      </c>
      <c r="F40" s="5">
        <f t="shared" ref="F40" si="23">B40+D40*E40</f>
        <v>2009776</v>
      </c>
      <c r="G40" s="5">
        <v>2009662</v>
      </c>
      <c r="H40" s="5">
        <v>2009821</v>
      </c>
      <c r="I40" s="5" t="s">
        <v>277</v>
      </c>
      <c r="J40" s="6" t="s">
        <v>276</v>
      </c>
      <c r="K40" s="5" t="s">
        <v>109</v>
      </c>
      <c r="L40" s="5" t="s">
        <v>143</v>
      </c>
      <c r="M40" s="4" t="s">
        <v>143</v>
      </c>
      <c r="N40" s="5" t="s">
        <v>143</v>
      </c>
      <c r="O40" s="5" t="s">
        <v>143</v>
      </c>
      <c r="P40" s="5" t="s">
        <v>143</v>
      </c>
      <c r="Q40" s="5" t="s">
        <v>143</v>
      </c>
      <c r="R40" s="5">
        <v>2009760</v>
      </c>
      <c r="S40" s="5">
        <f>R40+16</f>
        <v>2009776</v>
      </c>
      <c r="T40" s="5">
        <f t="shared" si="15"/>
        <v>98</v>
      </c>
      <c r="U40" s="5">
        <f t="shared" si="16"/>
        <v>114</v>
      </c>
      <c r="V40" s="5" t="s">
        <v>279</v>
      </c>
      <c r="W40" s="5" t="s">
        <v>152</v>
      </c>
      <c r="X40" s="5">
        <v>1</v>
      </c>
    </row>
    <row r="41" spans="1:24" s="20" customFormat="1" ht="17" x14ac:dyDescent="0.2">
      <c r="A41" s="4" t="s">
        <v>12</v>
      </c>
      <c r="B41" s="5">
        <v>4484273</v>
      </c>
      <c r="C41" s="5" t="s">
        <v>118</v>
      </c>
      <c r="D41" s="5">
        <f t="shared" si="2"/>
        <v>-1</v>
      </c>
      <c r="E41" s="5">
        <v>0</v>
      </c>
      <c r="F41" s="5">
        <f t="shared" si="3"/>
        <v>4484273</v>
      </c>
      <c r="G41" s="5">
        <f>F41-44</f>
        <v>4484229</v>
      </c>
      <c r="H41" s="5">
        <f>G41+159</f>
        <v>4484388</v>
      </c>
      <c r="I41" s="5" t="s">
        <v>282</v>
      </c>
      <c r="J41" s="6" t="s">
        <v>283</v>
      </c>
      <c r="K41" s="5">
        <v>4484273</v>
      </c>
      <c r="L41" s="5" t="s">
        <v>280</v>
      </c>
      <c r="M41" s="5" t="s">
        <v>281</v>
      </c>
      <c r="N41" s="5">
        <v>4484251</v>
      </c>
      <c r="O41" s="5">
        <v>4484273</v>
      </c>
      <c r="P41" s="5" t="s">
        <v>284</v>
      </c>
      <c r="Q41" s="5" t="s">
        <v>144</v>
      </c>
      <c r="R41" s="5">
        <v>4484278</v>
      </c>
      <c r="S41" s="5">
        <f>R41+25</f>
        <v>4484303</v>
      </c>
      <c r="T41" s="5">
        <f t="shared" si="15"/>
        <v>49</v>
      </c>
      <c r="U41" s="5">
        <f t="shared" si="16"/>
        <v>74</v>
      </c>
      <c r="V41" s="5" t="s">
        <v>285</v>
      </c>
      <c r="W41" s="5" t="s">
        <v>144</v>
      </c>
      <c r="X41" s="5">
        <v>0</v>
      </c>
    </row>
    <row r="42" spans="1:24" s="20" customFormat="1" ht="17" x14ac:dyDescent="0.2">
      <c r="A42" s="4" t="s">
        <v>12</v>
      </c>
      <c r="B42" s="5">
        <v>4484273</v>
      </c>
      <c r="C42" s="5" t="s">
        <v>118</v>
      </c>
      <c r="D42" s="5">
        <f t="shared" si="2"/>
        <v>-1</v>
      </c>
      <c r="E42" s="5">
        <v>0</v>
      </c>
      <c r="F42" s="5">
        <f t="shared" ref="F42" si="24">B42+D42*E42</f>
        <v>4484273</v>
      </c>
      <c r="G42" s="5">
        <f>F42-44</f>
        <v>4484229</v>
      </c>
      <c r="H42" s="5">
        <f>G42+159</f>
        <v>4484388</v>
      </c>
      <c r="I42" s="5" t="s">
        <v>282</v>
      </c>
      <c r="J42" s="6" t="s">
        <v>283</v>
      </c>
      <c r="K42" s="5">
        <v>4484273</v>
      </c>
      <c r="L42" s="5" t="s">
        <v>280</v>
      </c>
      <c r="M42" s="5" t="s">
        <v>281</v>
      </c>
      <c r="N42" s="5" t="s">
        <v>143</v>
      </c>
      <c r="O42" s="5" t="s">
        <v>143</v>
      </c>
      <c r="P42" s="5" t="s">
        <v>143</v>
      </c>
      <c r="Q42" s="5" t="s">
        <v>143</v>
      </c>
      <c r="R42" s="5">
        <v>4484349</v>
      </c>
      <c r="S42" s="5">
        <v>4484385</v>
      </c>
      <c r="T42" s="5">
        <f t="shared" si="15"/>
        <v>120</v>
      </c>
      <c r="U42" s="5">
        <f t="shared" si="16"/>
        <v>156</v>
      </c>
      <c r="V42" s="5" t="s">
        <v>286</v>
      </c>
      <c r="W42" s="5" t="s">
        <v>135</v>
      </c>
      <c r="X42" s="5">
        <v>1</v>
      </c>
    </row>
    <row r="43" spans="1:24" s="20" customFormat="1" ht="17" x14ac:dyDescent="0.2">
      <c r="A43" s="4" t="s">
        <v>6</v>
      </c>
      <c r="B43" s="5">
        <v>2585570</v>
      </c>
      <c r="C43" s="5" t="s">
        <v>118</v>
      </c>
      <c r="D43" s="5">
        <f t="shared" si="2"/>
        <v>-1</v>
      </c>
      <c r="E43" s="5">
        <v>0</v>
      </c>
      <c r="F43" s="5">
        <f t="shared" si="3"/>
        <v>2585570</v>
      </c>
      <c r="G43" s="5">
        <v>2585526</v>
      </c>
      <c r="H43" s="5">
        <v>2585685</v>
      </c>
      <c r="I43" s="5" t="s">
        <v>288</v>
      </c>
      <c r="J43" s="6" t="s">
        <v>287</v>
      </c>
      <c r="K43" s="5" t="s">
        <v>109</v>
      </c>
      <c r="L43" s="5" t="s">
        <v>143</v>
      </c>
      <c r="M43" s="4" t="s">
        <v>143</v>
      </c>
      <c r="N43" s="5">
        <v>2585566</v>
      </c>
      <c r="O43" s="5">
        <v>2585576</v>
      </c>
      <c r="P43" s="5" t="s">
        <v>291</v>
      </c>
      <c r="Q43" s="5" t="s">
        <v>290</v>
      </c>
      <c r="R43" s="5">
        <v>2585580</v>
      </c>
      <c r="S43" s="5">
        <f>R43+12</f>
        <v>2585592</v>
      </c>
      <c r="T43" s="5">
        <f t="shared" si="15"/>
        <v>54</v>
      </c>
      <c r="U43" s="5">
        <f t="shared" si="16"/>
        <v>66</v>
      </c>
      <c r="V43" s="5" t="s">
        <v>289</v>
      </c>
      <c r="W43" s="5" t="s">
        <v>152</v>
      </c>
      <c r="X43" s="5">
        <v>0</v>
      </c>
    </row>
    <row r="44" spans="1:24" s="20" customFormat="1" ht="17" x14ac:dyDescent="0.2">
      <c r="A44" s="4" t="s">
        <v>6</v>
      </c>
      <c r="B44" s="5">
        <v>2585570</v>
      </c>
      <c r="C44" s="5" t="s">
        <v>118</v>
      </c>
      <c r="D44" s="5">
        <f t="shared" si="2"/>
        <v>-1</v>
      </c>
      <c r="E44" s="5">
        <v>0</v>
      </c>
      <c r="F44" s="5">
        <f t="shared" ref="F44" si="25">B44+D44*E44</f>
        <v>2585570</v>
      </c>
      <c r="G44" s="5">
        <v>2585526</v>
      </c>
      <c r="H44" s="5">
        <v>2585685</v>
      </c>
      <c r="I44" s="5" t="s">
        <v>288</v>
      </c>
      <c r="J44" s="6" t="s">
        <v>287</v>
      </c>
      <c r="K44" s="5" t="s">
        <v>109</v>
      </c>
      <c r="L44" s="5" t="s">
        <v>143</v>
      </c>
      <c r="M44" s="4" t="s">
        <v>143</v>
      </c>
      <c r="N44" s="5" t="s">
        <v>143</v>
      </c>
      <c r="O44" s="5" t="s">
        <v>143</v>
      </c>
      <c r="P44" s="5" t="s">
        <v>143</v>
      </c>
      <c r="Q44" s="5" t="s">
        <v>143</v>
      </c>
      <c r="R44" s="5">
        <v>2585640</v>
      </c>
      <c r="S44" s="5">
        <f>R44+25</f>
        <v>2585665</v>
      </c>
      <c r="T44" s="5">
        <f t="shared" si="15"/>
        <v>114</v>
      </c>
      <c r="U44" s="5">
        <f t="shared" si="16"/>
        <v>139</v>
      </c>
      <c r="V44" s="5" t="s">
        <v>292</v>
      </c>
      <c r="W44" s="5" t="s">
        <v>152</v>
      </c>
      <c r="X44" s="5">
        <v>0</v>
      </c>
    </row>
    <row r="45" spans="1:24" s="20" customFormat="1" ht="17" x14ac:dyDescent="0.2">
      <c r="A45" s="4" t="s">
        <v>48</v>
      </c>
      <c r="B45" s="5">
        <v>63358</v>
      </c>
      <c r="C45" s="5" t="s">
        <v>118</v>
      </c>
      <c r="D45" s="5">
        <f t="shared" si="2"/>
        <v>-1</v>
      </c>
      <c r="E45" s="5">
        <v>0</v>
      </c>
      <c r="F45" s="5">
        <f t="shared" si="3"/>
        <v>63358</v>
      </c>
      <c r="G45" s="5">
        <f>F45-44</f>
        <v>63314</v>
      </c>
      <c r="H45" s="5">
        <f t="shared" ref="H45:H107" si="26">G45+159</f>
        <v>63473</v>
      </c>
      <c r="I45" s="5" t="s">
        <v>295</v>
      </c>
      <c r="J45" s="6" t="s">
        <v>293</v>
      </c>
      <c r="K45" s="5">
        <v>63588</v>
      </c>
      <c r="L45" s="5" t="s">
        <v>175</v>
      </c>
      <c r="M45" s="5" t="s">
        <v>294</v>
      </c>
      <c r="N45" s="5">
        <v>63338</v>
      </c>
      <c r="O45" s="5">
        <v>63358</v>
      </c>
      <c r="P45" s="5" t="s">
        <v>296</v>
      </c>
      <c r="Q45" s="5" t="s">
        <v>144</v>
      </c>
      <c r="R45" s="5" t="s">
        <v>143</v>
      </c>
      <c r="S45" s="5" t="s">
        <v>143</v>
      </c>
      <c r="T45" s="5" t="s">
        <v>143</v>
      </c>
      <c r="U45" s="5" t="s">
        <v>143</v>
      </c>
      <c r="V45" s="5" t="s">
        <v>143</v>
      </c>
      <c r="W45" s="5" t="s">
        <v>143</v>
      </c>
      <c r="X45" s="5">
        <v>-1</v>
      </c>
    </row>
    <row r="46" spans="1:24" s="20" customFormat="1" ht="17" x14ac:dyDescent="0.2">
      <c r="A46" s="4" t="s">
        <v>48</v>
      </c>
      <c r="B46" s="5">
        <v>63358</v>
      </c>
      <c r="C46" s="5" t="s">
        <v>118</v>
      </c>
      <c r="D46" s="5">
        <f t="shared" ref="D46" si="27">IF(C46="fwd",1,-1)</f>
        <v>-1</v>
      </c>
      <c r="E46" s="5">
        <v>0</v>
      </c>
      <c r="F46" s="5">
        <f t="shared" ref="F46" si="28">B46+D46*E46</f>
        <v>63358</v>
      </c>
      <c r="G46" s="5">
        <f>F46-44</f>
        <v>63314</v>
      </c>
      <c r="H46" s="5">
        <f t="shared" ref="H46" si="29">G46+159</f>
        <v>63473</v>
      </c>
      <c r="I46" s="5" t="s">
        <v>295</v>
      </c>
      <c r="J46" s="6" t="s">
        <v>293</v>
      </c>
      <c r="K46" s="5">
        <v>63588</v>
      </c>
      <c r="L46" s="5" t="s">
        <v>175</v>
      </c>
      <c r="M46" s="5" t="s">
        <v>294</v>
      </c>
      <c r="N46" s="5">
        <v>63435</v>
      </c>
      <c r="O46" s="5">
        <v>63488</v>
      </c>
      <c r="P46" s="5" t="s">
        <v>297</v>
      </c>
      <c r="Q46" s="5" t="s">
        <v>144</v>
      </c>
      <c r="R46" s="5">
        <v>63430</v>
      </c>
      <c r="S46" s="5">
        <f>R46+18</f>
        <v>63448</v>
      </c>
      <c r="T46" s="5">
        <f t="shared" ref="T46:T57" si="30">R46-G46</f>
        <v>116</v>
      </c>
      <c r="U46" s="5">
        <f t="shared" ref="U46:U57" si="31">S46-G46</f>
        <v>134</v>
      </c>
      <c r="V46" s="5" t="s">
        <v>298</v>
      </c>
      <c r="W46" s="5" t="s">
        <v>144</v>
      </c>
      <c r="X46" s="5">
        <v>0</v>
      </c>
    </row>
    <row r="47" spans="1:24" s="20" customFormat="1" ht="17" x14ac:dyDescent="0.2">
      <c r="A47" s="4" t="s">
        <v>57</v>
      </c>
      <c r="B47" s="5">
        <v>2230395</v>
      </c>
      <c r="C47" s="5" t="s">
        <v>118</v>
      </c>
      <c r="D47" s="5">
        <f t="shared" si="2"/>
        <v>-1</v>
      </c>
      <c r="E47" s="5">
        <v>0</v>
      </c>
      <c r="F47" s="5">
        <f t="shared" si="3"/>
        <v>2230395</v>
      </c>
      <c r="G47" s="5">
        <f>F47-44</f>
        <v>2230351</v>
      </c>
      <c r="H47" s="5">
        <f t="shared" si="26"/>
        <v>2230510</v>
      </c>
      <c r="I47" s="5" t="s">
        <v>301</v>
      </c>
      <c r="J47" s="6" t="s">
        <v>299</v>
      </c>
      <c r="K47" s="5">
        <v>2230395</v>
      </c>
      <c r="L47" s="5" t="s">
        <v>143</v>
      </c>
      <c r="M47" s="5" t="s">
        <v>300</v>
      </c>
      <c r="N47" s="5">
        <v>2230385</v>
      </c>
      <c r="O47" s="5">
        <v>2230395</v>
      </c>
      <c r="P47" s="5" t="s">
        <v>302</v>
      </c>
      <c r="Q47" s="5" t="s">
        <v>144</v>
      </c>
      <c r="R47" s="5">
        <v>2230387</v>
      </c>
      <c r="S47" s="5">
        <f>R47+33</f>
        <v>2230420</v>
      </c>
      <c r="T47" s="5">
        <f t="shared" si="30"/>
        <v>36</v>
      </c>
      <c r="U47" s="5">
        <f t="shared" si="31"/>
        <v>69</v>
      </c>
      <c r="V47" s="5" t="s">
        <v>303</v>
      </c>
      <c r="W47" s="5" t="s">
        <v>144</v>
      </c>
      <c r="X47" s="5">
        <v>0</v>
      </c>
    </row>
    <row r="48" spans="1:24" s="20" customFormat="1" ht="17" x14ac:dyDescent="0.2">
      <c r="A48" s="4" t="s">
        <v>57</v>
      </c>
      <c r="B48" s="5">
        <v>2230395</v>
      </c>
      <c r="C48" s="5" t="s">
        <v>118</v>
      </c>
      <c r="D48" s="5">
        <f t="shared" ref="D48" si="32">IF(C48="fwd",1,-1)</f>
        <v>-1</v>
      </c>
      <c r="E48" s="5">
        <v>0</v>
      </c>
      <c r="F48" s="5">
        <f t="shared" ref="F48" si="33">B48+D48*E48</f>
        <v>2230395</v>
      </c>
      <c r="G48" s="5">
        <f>F48-44</f>
        <v>2230351</v>
      </c>
      <c r="H48" s="5">
        <f t="shared" ref="H48" si="34">G48+159</f>
        <v>2230510</v>
      </c>
      <c r="I48" s="5" t="s">
        <v>301</v>
      </c>
      <c r="J48" s="6" t="s">
        <v>299</v>
      </c>
      <c r="K48" s="5">
        <v>2230395</v>
      </c>
      <c r="L48" s="5" t="s">
        <v>143</v>
      </c>
      <c r="M48" s="5" t="s">
        <v>300</v>
      </c>
      <c r="N48" s="5" t="s">
        <v>143</v>
      </c>
      <c r="O48" s="5" t="s">
        <v>143</v>
      </c>
      <c r="P48" s="5" t="s">
        <v>143</v>
      </c>
      <c r="Q48" s="5" t="s">
        <v>143</v>
      </c>
      <c r="R48" s="5">
        <f>S48-29</f>
        <v>2230481</v>
      </c>
      <c r="S48" s="5">
        <v>2230510</v>
      </c>
      <c r="T48" s="5">
        <f t="shared" si="30"/>
        <v>130</v>
      </c>
      <c r="U48" s="5">
        <f t="shared" si="31"/>
        <v>159</v>
      </c>
      <c r="V48" s="5" t="s">
        <v>304</v>
      </c>
      <c r="W48" s="5" t="s">
        <v>152</v>
      </c>
      <c r="X48" s="5">
        <v>1</v>
      </c>
    </row>
    <row r="49" spans="1:24" s="20" customFormat="1" ht="17" x14ac:dyDescent="0.2">
      <c r="A49" s="4" t="s">
        <v>76</v>
      </c>
      <c r="B49" s="5">
        <v>4081359</v>
      </c>
      <c r="C49" s="5" t="s">
        <v>118</v>
      </c>
      <c r="D49" s="5">
        <f t="shared" si="2"/>
        <v>-1</v>
      </c>
      <c r="E49" s="5">
        <v>2</v>
      </c>
      <c r="F49" s="5">
        <f t="shared" si="3"/>
        <v>4081357</v>
      </c>
      <c r="G49" s="5">
        <f>F49-42</f>
        <v>4081315</v>
      </c>
      <c r="H49" s="5">
        <f t="shared" si="26"/>
        <v>4081474</v>
      </c>
      <c r="I49" s="5" t="s">
        <v>307</v>
      </c>
      <c r="J49" s="6" t="s">
        <v>305</v>
      </c>
      <c r="K49" s="5">
        <v>4081361</v>
      </c>
      <c r="L49" s="5" t="s">
        <v>175</v>
      </c>
      <c r="M49" s="5" t="s">
        <v>306</v>
      </c>
      <c r="N49" s="5">
        <v>4081340</v>
      </c>
      <c r="O49" s="5">
        <v>4081361</v>
      </c>
      <c r="P49" s="5" t="s">
        <v>308</v>
      </c>
      <c r="Q49" s="5" t="s">
        <v>144</v>
      </c>
      <c r="R49" s="5">
        <v>4081320</v>
      </c>
      <c r="S49" s="5">
        <f>R49+25</f>
        <v>4081345</v>
      </c>
      <c r="T49" s="5">
        <f t="shared" si="30"/>
        <v>5</v>
      </c>
      <c r="U49" s="5">
        <f t="shared" si="31"/>
        <v>30</v>
      </c>
      <c r="V49" s="5" t="s">
        <v>309</v>
      </c>
      <c r="W49" s="5" t="s">
        <v>144</v>
      </c>
      <c r="X49" s="5">
        <v>0</v>
      </c>
    </row>
    <row r="50" spans="1:24" s="20" customFormat="1" ht="17" x14ac:dyDescent="0.2">
      <c r="A50" s="4" t="s">
        <v>76</v>
      </c>
      <c r="B50" s="5">
        <v>4081359</v>
      </c>
      <c r="C50" s="5" t="s">
        <v>118</v>
      </c>
      <c r="D50" s="5">
        <f t="shared" ref="D50:D51" si="35">IF(C50="fwd",1,-1)</f>
        <v>-1</v>
      </c>
      <c r="E50" s="5">
        <v>2</v>
      </c>
      <c r="F50" s="5">
        <f t="shared" ref="F50:F51" si="36">B50+D50*E50</f>
        <v>4081357</v>
      </c>
      <c r="G50" s="5">
        <f>F50-42</f>
        <v>4081315</v>
      </c>
      <c r="H50" s="5">
        <f t="shared" ref="H50:H51" si="37">G50+159</f>
        <v>4081474</v>
      </c>
      <c r="I50" s="5" t="s">
        <v>307</v>
      </c>
      <c r="J50" s="6" t="s">
        <v>305</v>
      </c>
      <c r="K50" s="5">
        <v>4081361</v>
      </c>
      <c r="L50" s="5" t="s">
        <v>175</v>
      </c>
      <c r="M50" s="5" t="s">
        <v>306</v>
      </c>
      <c r="N50" s="5" t="s">
        <v>143</v>
      </c>
      <c r="O50" s="5" t="s">
        <v>143</v>
      </c>
      <c r="P50" s="5" t="s">
        <v>143</v>
      </c>
      <c r="Q50" s="5" t="s">
        <v>143</v>
      </c>
      <c r="R50" s="5">
        <v>4081400</v>
      </c>
      <c r="S50" s="5">
        <f>4081420</f>
        <v>4081420</v>
      </c>
      <c r="T50" s="5">
        <f t="shared" si="30"/>
        <v>85</v>
      </c>
      <c r="U50" s="5">
        <f t="shared" si="31"/>
        <v>105</v>
      </c>
      <c r="V50" s="5" t="s">
        <v>310</v>
      </c>
      <c r="W50" s="5" t="s">
        <v>135</v>
      </c>
      <c r="X50" s="5">
        <v>1</v>
      </c>
    </row>
    <row r="51" spans="1:24" s="20" customFormat="1" ht="17" x14ac:dyDescent="0.2">
      <c r="A51" s="4" t="s">
        <v>76</v>
      </c>
      <c r="B51" s="5">
        <v>4081359</v>
      </c>
      <c r="C51" s="5" t="s">
        <v>118</v>
      </c>
      <c r="D51" s="5">
        <f t="shared" si="35"/>
        <v>-1</v>
      </c>
      <c r="E51" s="5">
        <v>2</v>
      </c>
      <c r="F51" s="5">
        <f t="shared" si="36"/>
        <v>4081357</v>
      </c>
      <c r="G51" s="5">
        <f>F51-42</f>
        <v>4081315</v>
      </c>
      <c r="H51" s="5">
        <f t="shared" si="37"/>
        <v>4081474</v>
      </c>
      <c r="I51" s="5" t="s">
        <v>307</v>
      </c>
      <c r="J51" s="6" t="s">
        <v>305</v>
      </c>
      <c r="K51" s="5">
        <v>4081361</v>
      </c>
      <c r="L51" s="5" t="s">
        <v>175</v>
      </c>
      <c r="M51" s="5" t="s">
        <v>306</v>
      </c>
      <c r="N51" s="5">
        <v>4081340</v>
      </c>
      <c r="O51" s="5">
        <v>4081361</v>
      </c>
      <c r="P51" s="5" t="s">
        <v>308</v>
      </c>
      <c r="Q51" s="5" t="s">
        <v>144</v>
      </c>
      <c r="R51" s="5">
        <v>4081430</v>
      </c>
      <c r="S51" s="5">
        <f>R51+40</f>
        <v>4081470</v>
      </c>
      <c r="T51" s="5">
        <f t="shared" si="30"/>
        <v>115</v>
      </c>
      <c r="U51" s="5">
        <f t="shared" si="31"/>
        <v>155</v>
      </c>
      <c r="V51" s="5" t="s">
        <v>311</v>
      </c>
      <c r="W51" s="5" t="s">
        <v>152</v>
      </c>
      <c r="X51" s="5">
        <v>1</v>
      </c>
    </row>
    <row r="52" spans="1:24" s="20" customFormat="1" ht="17" x14ac:dyDescent="0.2">
      <c r="A52" s="4" t="s">
        <v>89</v>
      </c>
      <c r="B52" s="5">
        <v>197026</v>
      </c>
      <c r="C52" s="5" t="s">
        <v>108</v>
      </c>
      <c r="D52" s="5">
        <f t="shared" si="2"/>
        <v>1</v>
      </c>
      <c r="E52" s="5">
        <v>0</v>
      </c>
      <c r="F52" s="5">
        <f t="shared" si="3"/>
        <v>197026</v>
      </c>
      <c r="G52" s="5">
        <v>196912</v>
      </c>
      <c r="H52" s="5">
        <f t="shared" si="26"/>
        <v>197071</v>
      </c>
      <c r="I52" s="5" t="s">
        <v>313</v>
      </c>
      <c r="J52" s="6" t="s">
        <v>312</v>
      </c>
      <c r="K52" s="5" t="s">
        <v>109</v>
      </c>
      <c r="L52" s="5" t="s">
        <v>143</v>
      </c>
      <c r="M52" s="4" t="s">
        <v>143</v>
      </c>
      <c r="N52" s="5" t="s">
        <v>143</v>
      </c>
      <c r="O52" s="5" t="s">
        <v>143</v>
      </c>
      <c r="P52" s="5" t="s">
        <v>143</v>
      </c>
      <c r="Q52" s="5" t="s">
        <v>143</v>
      </c>
      <c r="R52" s="5">
        <v>196917</v>
      </c>
      <c r="S52" s="5">
        <f>R52+31</f>
        <v>196948</v>
      </c>
      <c r="T52" s="5">
        <f t="shared" si="30"/>
        <v>5</v>
      </c>
      <c r="U52" s="5">
        <f t="shared" si="31"/>
        <v>36</v>
      </c>
      <c r="V52" s="5" t="s">
        <v>314</v>
      </c>
      <c r="W52" s="5" t="s">
        <v>135</v>
      </c>
      <c r="X52" s="5">
        <v>1</v>
      </c>
    </row>
    <row r="53" spans="1:24" s="20" customFormat="1" ht="17" x14ac:dyDescent="0.2">
      <c r="A53" s="4" t="s">
        <v>89</v>
      </c>
      <c r="B53" s="5">
        <v>197026</v>
      </c>
      <c r="C53" s="5" t="s">
        <v>108</v>
      </c>
      <c r="D53" s="5">
        <f t="shared" ref="D53" si="38">IF(C53="fwd",1,-1)</f>
        <v>1</v>
      </c>
      <c r="E53" s="5">
        <v>0</v>
      </c>
      <c r="F53" s="5">
        <f t="shared" ref="F53" si="39">B53+D53*E53</f>
        <v>197026</v>
      </c>
      <c r="G53" s="5">
        <v>196912</v>
      </c>
      <c r="H53" s="5">
        <f t="shared" ref="H53" si="40">G53+159</f>
        <v>197071</v>
      </c>
      <c r="I53" s="5" t="s">
        <v>313</v>
      </c>
      <c r="J53" s="6" t="s">
        <v>312</v>
      </c>
      <c r="K53" s="5" t="s">
        <v>109</v>
      </c>
      <c r="L53" s="5" t="s">
        <v>143</v>
      </c>
      <c r="M53" s="4" t="s">
        <v>143</v>
      </c>
      <c r="N53" s="5" t="s">
        <v>143</v>
      </c>
      <c r="O53" s="5" t="s">
        <v>143</v>
      </c>
      <c r="P53" s="5" t="s">
        <v>143</v>
      </c>
      <c r="Q53" s="5" t="s">
        <v>143</v>
      </c>
      <c r="R53" s="5">
        <v>196948</v>
      </c>
      <c r="S53" s="5">
        <f>R53+21</f>
        <v>196969</v>
      </c>
      <c r="T53" s="5">
        <f t="shared" si="30"/>
        <v>36</v>
      </c>
      <c r="U53" s="5">
        <f t="shared" si="31"/>
        <v>57</v>
      </c>
      <c r="V53" s="5" t="s">
        <v>315</v>
      </c>
      <c r="W53" s="5" t="s">
        <v>152</v>
      </c>
      <c r="X53" s="5">
        <v>1</v>
      </c>
    </row>
    <row r="54" spans="1:24" s="20" customFormat="1" ht="17" x14ac:dyDescent="0.2">
      <c r="A54" s="4" t="s">
        <v>90</v>
      </c>
      <c r="B54" s="5">
        <v>197821</v>
      </c>
      <c r="C54" s="5" t="s">
        <v>108</v>
      </c>
      <c r="D54" s="5">
        <f t="shared" si="2"/>
        <v>1</v>
      </c>
      <c r="E54" s="5"/>
      <c r="F54" s="5">
        <f t="shared" si="3"/>
        <v>197821</v>
      </c>
      <c r="G54" s="5">
        <v>197707</v>
      </c>
      <c r="H54" s="5">
        <f t="shared" si="26"/>
        <v>197866</v>
      </c>
      <c r="I54" s="5" t="s">
        <v>316</v>
      </c>
      <c r="J54" s="6" t="s">
        <v>312</v>
      </c>
      <c r="K54" s="5" t="s">
        <v>109</v>
      </c>
      <c r="L54" s="5" t="s">
        <v>143</v>
      </c>
      <c r="M54" s="4" t="s">
        <v>143</v>
      </c>
      <c r="N54" s="5" t="s">
        <v>143</v>
      </c>
      <c r="O54" s="5" t="s">
        <v>143</v>
      </c>
      <c r="P54" s="5" t="s">
        <v>143</v>
      </c>
      <c r="Q54" s="5" t="s">
        <v>143</v>
      </c>
      <c r="R54" s="5">
        <v>197820</v>
      </c>
      <c r="S54" s="5">
        <v>197835</v>
      </c>
      <c r="T54" s="5">
        <f t="shared" si="30"/>
        <v>113</v>
      </c>
      <c r="U54" s="5">
        <f t="shared" si="31"/>
        <v>128</v>
      </c>
      <c r="V54" s="5" t="s">
        <v>317</v>
      </c>
      <c r="W54" s="5" t="s">
        <v>144</v>
      </c>
      <c r="X54" s="5">
        <v>1</v>
      </c>
    </row>
    <row r="55" spans="1:24" s="20" customFormat="1" ht="17" x14ac:dyDescent="0.2">
      <c r="A55" s="4" t="s">
        <v>17</v>
      </c>
      <c r="B55" s="5">
        <v>1237285</v>
      </c>
      <c r="C55" s="5" t="s">
        <v>118</v>
      </c>
      <c r="D55" s="5">
        <f t="shared" si="2"/>
        <v>-1</v>
      </c>
      <c r="E55" s="5">
        <v>0</v>
      </c>
      <c r="F55" s="5">
        <f t="shared" si="3"/>
        <v>1237285</v>
      </c>
      <c r="G55" s="5">
        <f>F55-44</f>
        <v>1237241</v>
      </c>
      <c r="H55" s="5">
        <f t="shared" si="26"/>
        <v>1237400</v>
      </c>
      <c r="I55" s="5" t="s">
        <v>320</v>
      </c>
      <c r="J55" s="6" t="s">
        <v>319</v>
      </c>
      <c r="K55" s="5">
        <v>1237285</v>
      </c>
      <c r="L55" s="5" t="s">
        <v>143</v>
      </c>
      <c r="M55" s="5" t="s">
        <v>318</v>
      </c>
      <c r="N55" s="5">
        <v>123265</v>
      </c>
      <c r="O55" s="5">
        <v>123285</v>
      </c>
      <c r="P55" s="5" t="s">
        <v>321</v>
      </c>
      <c r="Q55" s="5" t="s">
        <v>144</v>
      </c>
      <c r="R55" s="5">
        <v>1237285</v>
      </c>
      <c r="S55" s="5">
        <f>R55+40</f>
        <v>1237325</v>
      </c>
      <c r="T55" s="5">
        <f t="shared" si="30"/>
        <v>44</v>
      </c>
      <c r="U55" s="5">
        <f t="shared" si="31"/>
        <v>84</v>
      </c>
      <c r="V55" s="5" t="s">
        <v>322</v>
      </c>
      <c r="W55" s="5" t="s">
        <v>144</v>
      </c>
      <c r="X55" s="5">
        <v>0</v>
      </c>
    </row>
    <row r="56" spans="1:24" s="20" customFormat="1" x14ac:dyDescent="0.2">
      <c r="A56" s="4" t="s">
        <v>68</v>
      </c>
      <c r="B56" s="5">
        <v>2212241</v>
      </c>
      <c r="C56" s="5" t="s">
        <v>118</v>
      </c>
      <c r="D56" s="5">
        <f t="shared" si="2"/>
        <v>-1</v>
      </c>
      <c r="E56" s="5">
        <v>-15</v>
      </c>
      <c r="F56" s="5">
        <f t="shared" si="3"/>
        <v>2212256</v>
      </c>
      <c r="G56" s="5">
        <v>2212197</v>
      </c>
      <c r="H56" s="5">
        <f t="shared" si="26"/>
        <v>2212356</v>
      </c>
      <c r="I56" s="5" t="s">
        <v>324</v>
      </c>
      <c r="J56" s="5" t="s">
        <v>323</v>
      </c>
      <c r="K56" s="5" t="s">
        <v>109</v>
      </c>
      <c r="L56" s="5" t="s">
        <v>143</v>
      </c>
      <c r="M56" s="4" t="s">
        <v>143</v>
      </c>
      <c r="N56" s="5" t="s">
        <v>143</v>
      </c>
      <c r="O56" s="5" t="s">
        <v>143</v>
      </c>
      <c r="P56" s="5" t="s">
        <v>143</v>
      </c>
      <c r="Q56" s="5" t="s">
        <v>143</v>
      </c>
      <c r="R56" s="5">
        <v>2212300</v>
      </c>
      <c r="S56" s="5">
        <v>2212319</v>
      </c>
      <c r="T56" s="5">
        <f t="shared" si="30"/>
        <v>103</v>
      </c>
      <c r="U56" s="5">
        <f t="shared" si="31"/>
        <v>122</v>
      </c>
      <c r="V56" s="5" t="s">
        <v>325</v>
      </c>
      <c r="W56" s="5" t="s">
        <v>135</v>
      </c>
      <c r="X56" s="5">
        <v>1</v>
      </c>
    </row>
    <row r="57" spans="1:24" s="20" customFormat="1" ht="17" x14ac:dyDescent="0.2">
      <c r="A57" s="4" t="s">
        <v>65</v>
      </c>
      <c r="B57" s="5">
        <v>2266214</v>
      </c>
      <c r="C57" s="5" t="s">
        <v>108</v>
      </c>
      <c r="D57" s="5">
        <f t="shared" si="2"/>
        <v>1</v>
      </c>
      <c r="E57" s="5">
        <v>0</v>
      </c>
      <c r="F57" s="5">
        <f t="shared" si="3"/>
        <v>2266214</v>
      </c>
      <c r="G57" s="5">
        <v>2266100</v>
      </c>
      <c r="H57" s="5">
        <f t="shared" si="26"/>
        <v>2266259</v>
      </c>
      <c r="I57" s="5" t="s">
        <v>328</v>
      </c>
      <c r="J57" s="6" t="s">
        <v>327</v>
      </c>
      <c r="K57" s="5">
        <v>2266164</v>
      </c>
      <c r="L57" s="5" t="s">
        <v>280</v>
      </c>
      <c r="M57" s="5" t="s">
        <v>326</v>
      </c>
      <c r="N57" s="5">
        <v>2266164</v>
      </c>
      <c r="O57" s="5">
        <v>2266185</v>
      </c>
      <c r="P57" s="5" t="s">
        <v>329</v>
      </c>
      <c r="Q57" s="5" t="s">
        <v>144</v>
      </c>
      <c r="R57" s="5">
        <v>2266140</v>
      </c>
      <c r="S57" s="5">
        <v>2266165</v>
      </c>
      <c r="T57" s="5">
        <f t="shared" si="30"/>
        <v>40</v>
      </c>
      <c r="U57" s="5">
        <f t="shared" si="31"/>
        <v>65</v>
      </c>
      <c r="V57" s="5" t="s">
        <v>330</v>
      </c>
      <c r="W57" s="5" t="s">
        <v>144</v>
      </c>
      <c r="X57" s="5">
        <v>1</v>
      </c>
    </row>
    <row r="58" spans="1:24" s="20" customFormat="1" ht="17" x14ac:dyDescent="0.2">
      <c r="A58" s="4" t="s">
        <v>65</v>
      </c>
      <c r="B58" s="5">
        <v>2266214</v>
      </c>
      <c r="C58" s="5" t="s">
        <v>108</v>
      </c>
      <c r="D58" s="5">
        <f t="shared" ref="D58" si="41">IF(C58="fwd",1,-1)</f>
        <v>1</v>
      </c>
      <c r="E58" s="5">
        <v>0</v>
      </c>
      <c r="F58" s="5">
        <f t="shared" ref="F58" si="42">B58+D58*E58</f>
        <v>2266214</v>
      </c>
      <c r="G58" s="5">
        <v>2266100</v>
      </c>
      <c r="H58" s="5">
        <f t="shared" ref="H58" si="43">G58+159</f>
        <v>2266259</v>
      </c>
      <c r="I58" s="5" t="s">
        <v>328</v>
      </c>
      <c r="J58" s="6" t="s">
        <v>327</v>
      </c>
      <c r="K58" s="5">
        <v>2266164</v>
      </c>
      <c r="L58" s="5" t="s">
        <v>280</v>
      </c>
      <c r="M58" s="5" t="s">
        <v>326</v>
      </c>
      <c r="N58" s="5">
        <v>2266214</v>
      </c>
      <c r="O58" s="5">
        <v>2266238</v>
      </c>
      <c r="P58" s="5" t="s">
        <v>331</v>
      </c>
      <c r="Q58" s="5" t="s">
        <v>144</v>
      </c>
      <c r="R58" s="5" t="s">
        <v>143</v>
      </c>
      <c r="S58" s="5" t="s">
        <v>143</v>
      </c>
      <c r="T58" s="5" t="s">
        <v>143</v>
      </c>
      <c r="U58" s="5" t="s">
        <v>143</v>
      </c>
      <c r="V58" s="5" t="s">
        <v>143</v>
      </c>
      <c r="W58" s="5" t="s">
        <v>143</v>
      </c>
      <c r="X58" s="5">
        <v>-1</v>
      </c>
    </row>
    <row r="59" spans="1:24" s="20" customFormat="1" ht="17" x14ac:dyDescent="0.2">
      <c r="A59" s="4" t="s">
        <v>13</v>
      </c>
      <c r="B59" s="5">
        <v>4122354</v>
      </c>
      <c r="C59" s="5" t="s">
        <v>118</v>
      </c>
      <c r="D59" s="5">
        <f t="shared" si="2"/>
        <v>-1</v>
      </c>
      <c r="E59" s="5">
        <v>0</v>
      </c>
      <c r="F59" s="5">
        <f t="shared" si="3"/>
        <v>4122354</v>
      </c>
      <c r="G59" s="5">
        <f t="shared" ref="G59:G64" si="44">F59-44</f>
        <v>4122310</v>
      </c>
      <c r="H59" s="5">
        <f t="shared" si="26"/>
        <v>4122469</v>
      </c>
      <c r="I59" s="5" t="s">
        <v>333</v>
      </c>
      <c r="J59" s="6" t="s">
        <v>332</v>
      </c>
      <c r="K59" s="5" t="s">
        <v>109</v>
      </c>
      <c r="L59" s="5" t="s">
        <v>143</v>
      </c>
      <c r="M59" s="4" t="s">
        <v>143</v>
      </c>
      <c r="N59" s="5">
        <v>4122335</v>
      </c>
      <c r="O59" s="5">
        <v>4122354</v>
      </c>
      <c r="P59" s="5" t="s">
        <v>334</v>
      </c>
      <c r="Q59" s="5" t="s">
        <v>165</v>
      </c>
      <c r="R59" s="5">
        <f>S59-23</f>
        <v>4122327</v>
      </c>
      <c r="S59" s="5">
        <v>4122350</v>
      </c>
      <c r="T59" s="5">
        <f t="shared" ref="T59:T110" si="45">R59-G59</f>
        <v>17</v>
      </c>
      <c r="U59" s="5">
        <f t="shared" ref="U59:U110" si="46">S59-G59</f>
        <v>40</v>
      </c>
      <c r="V59" s="5" t="s">
        <v>335</v>
      </c>
      <c r="W59" s="5" t="s">
        <v>144</v>
      </c>
      <c r="X59" s="5">
        <v>0</v>
      </c>
    </row>
    <row r="60" spans="1:24" s="20" customFormat="1" ht="17" x14ac:dyDescent="0.2">
      <c r="A60" s="4" t="s">
        <v>21</v>
      </c>
      <c r="B60" s="5">
        <v>1907086</v>
      </c>
      <c r="C60" s="5" t="s">
        <v>118</v>
      </c>
      <c r="D60" s="5">
        <f t="shared" si="2"/>
        <v>-1</v>
      </c>
      <c r="E60" s="5">
        <v>0</v>
      </c>
      <c r="F60" s="5">
        <f t="shared" si="3"/>
        <v>1907086</v>
      </c>
      <c r="G60" s="5">
        <f t="shared" si="44"/>
        <v>1907042</v>
      </c>
      <c r="H60" s="5">
        <f t="shared" si="26"/>
        <v>1907201</v>
      </c>
      <c r="I60" s="5" t="s">
        <v>338</v>
      </c>
      <c r="J60" s="6" t="s">
        <v>336</v>
      </c>
      <c r="K60" s="5">
        <v>1907086</v>
      </c>
      <c r="L60" s="5" t="s">
        <v>175</v>
      </c>
      <c r="M60" s="5" t="s">
        <v>337</v>
      </c>
      <c r="N60" s="5">
        <v>1907061</v>
      </c>
      <c r="O60" s="5">
        <v>1907086</v>
      </c>
      <c r="P60" s="5" t="s">
        <v>339</v>
      </c>
      <c r="Q60" s="5" t="s">
        <v>144</v>
      </c>
      <c r="R60" s="5">
        <v>1907075</v>
      </c>
      <c r="S60" s="5">
        <f>R60+20</f>
        <v>1907095</v>
      </c>
      <c r="T60" s="5">
        <f t="shared" si="45"/>
        <v>33</v>
      </c>
      <c r="U60" s="5">
        <f t="shared" si="46"/>
        <v>53</v>
      </c>
      <c r="V60" s="5" t="s">
        <v>340</v>
      </c>
      <c r="W60" s="5" t="s">
        <v>144</v>
      </c>
      <c r="X60" s="5">
        <v>0</v>
      </c>
    </row>
    <row r="61" spans="1:24" s="20" customFormat="1" ht="17" x14ac:dyDescent="0.2">
      <c r="A61" s="4" t="s">
        <v>21</v>
      </c>
      <c r="B61" s="5">
        <v>1907086</v>
      </c>
      <c r="C61" s="5" t="s">
        <v>118</v>
      </c>
      <c r="D61" s="5">
        <f t="shared" ref="D61" si="47">IF(C61="fwd",1,-1)</f>
        <v>-1</v>
      </c>
      <c r="E61" s="5">
        <v>0</v>
      </c>
      <c r="F61" s="5">
        <f t="shared" ref="F61" si="48">B61+D61*E61</f>
        <v>1907086</v>
      </c>
      <c r="G61" s="5">
        <f t="shared" si="44"/>
        <v>1907042</v>
      </c>
      <c r="H61" s="5">
        <f t="shared" ref="H61" si="49">G61+159</f>
        <v>1907201</v>
      </c>
      <c r="I61" s="5" t="s">
        <v>338</v>
      </c>
      <c r="J61" s="6" t="s">
        <v>336</v>
      </c>
      <c r="K61" s="5">
        <v>1907086</v>
      </c>
      <c r="L61" s="5" t="s">
        <v>175</v>
      </c>
      <c r="M61" s="5" t="s">
        <v>337</v>
      </c>
      <c r="N61" s="5" t="s">
        <v>143</v>
      </c>
      <c r="O61" s="5" t="s">
        <v>143</v>
      </c>
      <c r="P61" s="5" t="s">
        <v>143</v>
      </c>
      <c r="Q61" s="5" t="s">
        <v>143</v>
      </c>
      <c r="R61" s="5">
        <v>1907126</v>
      </c>
      <c r="S61" s="5">
        <f>R61+10</f>
        <v>1907136</v>
      </c>
      <c r="T61" s="5">
        <f t="shared" si="45"/>
        <v>84</v>
      </c>
      <c r="U61" s="5">
        <f t="shared" si="46"/>
        <v>94</v>
      </c>
      <c r="V61" s="5" t="s">
        <v>341</v>
      </c>
      <c r="W61" s="5" t="s">
        <v>152</v>
      </c>
      <c r="X61" s="5">
        <v>1</v>
      </c>
    </row>
    <row r="62" spans="1:24" s="20" customFormat="1" ht="17" x14ac:dyDescent="0.2">
      <c r="A62" s="4" t="s">
        <v>16</v>
      </c>
      <c r="B62" s="5">
        <v>794644</v>
      </c>
      <c r="C62" s="5" t="s">
        <v>118</v>
      </c>
      <c r="D62" s="5">
        <f t="shared" si="2"/>
        <v>-1</v>
      </c>
      <c r="E62" s="5">
        <v>0</v>
      </c>
      <c r="F62" s="5">
        <f t="shared" si="3"/>
        <v>794644</v>
      </c>
      <c r="G62" s="5">
        <f t="shared" si="44"/>
        <v>794600</v>
      </c>
      <c r="H62" s="5">
        <f t="shared" si="26"/>
        <v>794759</v>
      </c>
      <c r="I62" s="5" t="s">
        <v>343</v>
      </c>
      <c r="J62" s="6" t="s">
        <v>342</v>
      </c>
      <c r="K62" s="5" t="s">
        <v>109</v>
      </c>
      <c r="L62" s="5" t="s">
        <v>143</v>
      </c>
      <c r="M62" s="4" t="s">
        <v>143</v>
      </c>
      <c r="N62" s="5" t="s">
        <v>143</v>
      </c>
      <c r="O62" s="5" t="s">
        <v>143</v>
      </c>
      <c r="P62" s="5" t="s">
        <v>143</v>
      </c>
      <c r="Q62" s="5" t="s">
        <v>143</v>
      </c>
      <c r="R62" s="5">
        <f>S62-17</f>
        <v>794733</v>
      </c>
      <c r="S62" s="5">
        <v>794750</v>
      </c>
      <c r="T62" s="5">
        <f t="shared" si="45"/>
        <v>133</v>
      </c>
      <c r="U62" s="5">
        <f t="shared" si="46"/>
        <v>150</v>
      </c>
      <c r="V62" s="5" t="s">
        <v>344</v>
      </c>
      <c r="W62" s="5" t="s">
        <v>144</v>
      </c>
      <c r="X62" s="5">
        <v>1</v>
      </c>
    </row>
    <row r="63" spans="1:24" s="20" customFormat="1" ht="17" x14ac:dyDescent="0.2">
      <c r="A63" s="4" t="s">
        <v>66</v>
      </c>
      <c r="B63" s="5">
        <v>1018330</v>
      </c>
      <c r="C63" s="5" t="s">
        <v>118</v>
      </c>
      <c r="D63" s="5">
        <f t="shared" si="2"/>
        <v>-1</v>
      </c>
      <c r="E63" s="5">
        <v>0</v>
      </c>
      <c r="F63" s="5">
        <f t="shared" si="3"/>
        <v>1018330</v>
      </c>
      <c r="G63" s="5">
        <f t="shared" si="44"/>
        <v>1018286</v>
      </c>
      <c r="H63" s="5">
        <f t="shared" si="26"/>
        <v>1018445</v>
      </c>
      <c r="I63" s="5" t="s">
        <v>347</v>
      </c>
      <c r="J63" s="6" t="s">
        <v>346</v>
      </c>
      <c r="K63" s="5">
        <v>1018460</v>
      </c>
      <c r="L63" s="5" t="s">
        <v>175</v>
      </c>
      <c r="M63" s="5" t="s">
        <v>345</v>
      </c>
      <c r="N63" s="5">
        <v>1018425</v>
      </c>
      <c r="O63" s="5">
        <v>1018460</v>
      </c>
      <c r="P63" s="5" t="s">
        <v>348</v>
      </c>
      <c r="Q63" s="5" t="s">
        <v>144</v>
      </c>
      <c r="R63" s="5">
        <v>1018418</v>
      </c>
      <c r="S63" s="5">
        <f>R63+13</f>
        <v>1018431</v>
      </c>
      <c r="T63" s="5">
        <f t="shared" si="45"/>
        <v>132</v>
      </c>
      <c r="U63" s="5">
        <f t="shared" si="46"/>
        <v>145</v>
      </c>
      <c r="V63" s="5" t="s">
        <v>349</v>
      </c>
      <c r="W63" s="5" t="s">
        <v>144</v>
      </c>
      <c r="X63" s="5">
        <v>1</v>
      </c>
    </row>
    <row r="64" spans="1:24" s="20" customFormat="1" ht="17" x14ac:dyDescent="0.2">
      <c r="A64" s="4" t="s">
        <v>100</v>
      </c>
      <c r="B64" s="5">
        <v>443748</v>
      </c>
      <c r="C64" s="5" t="s">
        <v>118</v>
      </c>
      <c r="D64" s="5">
        <f t="shared" si="2"/>
        <v>-1</v>
      </c>
      <c r="E64" s="5">
        <v>0</v>
      </c>
      <c r="F64" s="5">
        <f t="shared" si="3"/>
        <v>443748</v>
      </c>
      <c r="G64" s="5">
        <f t="shared" si="44"/>
        <v>443704</v>
      </c>
      <c r="H64" s="5">
        <f t="shared" si="26"/>
        <v>443863</v>
      </c>
      <c r="I64" s="5" t="s">
        <v>352</v>
      </c>
      <c r="J64" s="6" t="s">
        <v>350</v>
      </c>
      <c r="K64" s="5">
        <v>443748</v>
      </c>
      <c r="L64" s="5" t="s">
        <v>280</v>
      </c>
      <c r="M64" s="5" t="s">
        <v>351</v>
      </c>
      <c r="N64" s="5">
        <v>443720</v>
      </c>
      <c r="O64" s="5">
        <v>4437498</v>
      </c>
      <c r="P64" s="5" t="s">
        <v>353</v>
      </c>
      <c r="Q64" s="5" t="s">
        <v>144</v>
      </c>
      <c r="R64" s="5">
        <v>443715</v>
      </c>
      <c r="S64" s="5">
        <f>R64+12</f>
        <v>443727</v>
      </c>
      <c r="T64" s="5">
        <f t="shared" si="45"/>
        <v>11</v>
      </c>
      <c r="U64" s="5">
        <f t="shared" si="46"/>
        <v>23</v>
      </c>
      <c r="V64" s="5" t="s">
        <v>354</v>
      </c>
      <c r="W64" s="5" t="s">
        <v>144</v>
      </c>
      <c r="X64" s="5">
        <v>0</v>
      </c>
    </row>
    <row r="65" spans="1:24" s="20" customFormat="1" ht="17" x14ac:dyDescent="0.2">
      <c r="A65" s="4" t="s">
        <v>71</v>
      </c>
      <c r="B65" s="5">
        <v>1950760</v>
      </c>
      <c r="C65" s="5" t="s">
        <v>108</v>
      </c>
      <c r="D65" s="5">
        <f t="shared" si="2"/>
        <v>1</v>
      </c>
      <c r="E65" s="5">
        <v>0</v>
      </c>
      <c r="F65" s="5">
        <f t="shared" si="3"/>
        <v>1950760</v>
      </c>
      <c r="G65" s="5">
        <v>1950646</v>
      </c>
      <c r="H65" s="5">
        <f t="shared" si="26"/>
        <v>1950805</v>
      </c>
      <c r="I65" s="5" t="s">
        <v>356</v>
      </c>
      <c r="J65" s="6" t="s">
        <v>355</v>
      </c>
      <c r="K65" s="5" t="s">
        <v>109</v>
      </c>
      <c r="L65" s="5" t="s">
        <v>143</v>
      </c>
      <c r="M65" s="4" t="s">
        <v>143</v>
      </c>
      <c r="N65" s="5">
        <v>1950636</v>
      </c>
      <c r="O65" s="5">
        <v>1950660</v>
      </c>
      <c r="P65" s="5" t="s">
        <v>357</v>
      </c>
      <c r="Q65" s="5" t="s">
        <v>165</v>
      </c>
      <c r="R65" s="5">
        <v>1950650</v>
      </c>
      <c r="S65" s="5">
        <f>R65+12</f>
        <v>1950662</v>
      </c>
      <c r="T65" s="5">
        <f t="shared" si="45"/>
        <v>4</v>
      </c>
      <c r="U65" s="5">
        <f t="shared" si="46"/>
        <v>16</v>
      </c>
      <c r="V65" s="5" t="s">
        <v>358</v>
      </c>
      <c r="W65" s="5" t="s">
        <v>144</v>
      </c>
      <c r="X65" s="5">
        <v>0</v>
      </c>
    </row>
    <row r="66" spans="1:24" s="20" customFormat="1" ht="17" x14ac:dyDescent="0.2">
      <c r="A66" s="4" t="s">
        <v>71</v>
      </c>
      <c r="B66" s="5">
        <v>1950760</v>
      </c>
      <c r="C66" s="5" t="s">
        <v>108</v>
      </c>
      <c r="D66" s="5">
        <f t="shared" ref="D66" si="50">IF(C66="fwd",1,-1)</f>
        <v>1</v>
      </c>
      <c r="E66" s="5">
        <v>0</v>
      </c>
      <c r="F66" s="5">
        <f t="shared" ref="F66" si="51">B66+D66*E66</f>
        <v>1950760</v>
      </c>
      <c r="G66" s="5">
        <v>1950646</v>
      </c>
      <c r="H66" s="5">
        <f t="shared" ref="H66" si="52">G66+159</f>
        <v>1950805</v>
      </c>
      <c r="I66" s="5" t="s">
        <v>356</v>
      </c>
      <c r="J66" s="6" t="s">
        <v>355</v>
      </c>
      <c r="K66" s="5" t="s">
        <v>109</v>
      </c>
      <c r="L66" s="5" t="s">
        <v>143</v>
      </c>
      <c r="M66" s="4" t="s">
        <v>143</v>
      </c>
      <c r="N66" s="5" t="s">
        <v>143</v>
      </c>
      <c r="O66" s="5" t="s">
        <v>143</v>
      </c>
      <c r="P66" s="5" t="s">
        <v>143</v>
      </c>
      <c r="Q66" s="5" t="s">
        <v>143</v>
      </c>
      <c r="R66" s="5">
        <v>1950680</v>
      </c>
      <c r="S66" s="5">
        <f>R66+11</f>
        <v>1950691</v>
      </c>
      <c r="T66" s="5">
        <f t="shared" ref="T66" si="53">R66-G66</f>
        <v>34</v>
      </c>
      <c r="U66" s="5">
        <f t="shared" ref="U66" si="54">S66-G66</f>
        <v>45</v>
      </c>
      <c r="V66" s="5" t="s">
        <v>359</v>
      </c>
      <c r="W66" s="5" t="s">
        <v>144</v>
      </c>
      <c r="X66" s="5">
        <v>1</v>
      </c>
    </row>
    <row r="67" spans="1:24" s="20" customFormat="1" ht="17" x14ac:dyDescent="0.2">
      <c r="A67" s="4" t="s">
        <v>71</v>
      </c>
      <c r="B67" s="5">
        <v>1950760</v>
      </c>
      <c r="C67" s="5" t="s">
        <v>108</v>
      </c>
      <c r="D67" s="5">
        <f t="shared" ref="D67" si="55">IF(C67="fwd",1,-1)</f>
        <v>1</v>
      </c>
      <c r="E67" s="5">
        <v>0</v>
      </c>
      <c r="F67" s="5">
        <f t="shared" ref="F67" si="56">B67+D67*E67</f>
        <v>1950760</v>
      </c>
      <c r="G67" s="5">
        <v>1950646</v>
      </c>
      <c r="H67" s="5">
        <f t="shared" ref="H67" si="57">G67+159</f>
        <v>1950805</v>
      </c>
      <c r="I67" s="5" t="s">
        <v>356</v>
      </c>
      <c r="J67" s="6" t="s">
        <v>355</v>
      </c>
      <c r="K67" s="5" t="s">
        <v>109</v>
      </c>
      <c r="L67" s="5" t="s">
        <v>143</v>
      </c>
      <c r="M67" s="4" t="s">
        <v>143</v>
      </c>
      <c r="N67" s="5" t="s">
        <v>143</v>
      </c>
      <c r="O67" s="5" t="s">
        <v>143</v>
      </c>
      <c r="P67" s="5" t="s">
        <v>143</v>
      </c>
      <c r="Q67" s="5" t="s">
        <v>143</v>
      </c>
      <c r="R67" s="5">
        <v>1950706</v>
      </c>
      <c r="S67" s="5">
        <f>R67+20</f>
        <v>1950726</v>
      </c>
      <c r="T67" s="5">
        <f t="shared" ref="T67" si="58">R67-G67</f>
        <v>60</v>
      </c>
      <c r="U67" s="5">
        <f t="shared" ref="U67" si="59">S67-G67</f>
        <v>80</v>
      </c>
      <c r="V67" s="5" t="s">
        <v>360</v>
      </c>
      <c r="W67" s="5" t="s">
        <v>135</v>
      </c>
      <c r="X67" s="5">
        <v>1</v>
      </c>
    </row>
    <row r="68" spans="1:24" s="20" customFormat="1" ht="17" x14ac:dyDescent="0.2">
      <c r="A68" s="4" t="s">
        <v>27</v>
      </c>
      <c r="B68" s="5">
        <v>852626</v>
      </c>
      <c r="C68" s="5" t="s">
        <v>118</v>
      </c>
      <c r="D68" s="5">
        <f t="shared" si="2"/>
        <v>-1</v>
      </c>
      <c r="E68" s="5">
        <v>0</v>
      </c>
      <c r="F68" s="5">
        <f t="shared" si="3"/>
        <v>852626</v>
      </c>
      <c r="G68" s="5">
        <f>F68-44</f>
        <v>852582</v>
      </c>
      <c r="H68" s="5">
        <f t="shared" si="26"/>
        <v>852741</v>
      </c>
      <c r="I68" s="5" t="s">
        <v>363</v>
      </c>
      <c r="J68" s="6" t="s">
        <v>361</v>
      </c>
      <c r="K68" s="5">
        <v>852626</v>
      </c>
      <c r="L68" s="5" t="s">
        <v>280</v>
      </c>
      <c r="M68" s="5" t="s">
        <v>362</v>
      </c>
      <c r="N68" s="5">
        <v>852601</v>
      </c>
      <c r="O68" s="5">
        <v>852626</v>
      </c>
      <c r="P68" s="5" t="s">
        <v>372</v>
      </c>
      <c r="Q68" s="5" t="s">
        <v>165</v>
      </c>
      <c r="R68" s="5">
        <v>852593</v>
      </c>
      <c r="S68" s="5">
        <f>R68+15</f>
        <v>852608</v>
      </c>
      <c r="T68" s="5">
        <f t="shared" si="45"/>
        <v>11</v>
      </c>
      <c r="U68" s="5">
        <f t="shared" si="46"/>
        <v>26</v>
      </c>
      <c r="V68" s="5" t="s">
        <v>373</v>
      </c>
      <c r="W68" s="5" t="s">
        <v>144</v>
      </c>
      <c r="X68" s="5">
        <v>0</v>
      </c>
    </row>
    <row r="69" spans="1:24" s="20" customFormat="1" ht="17" x14ac:dyDescent="0.2">
      <c r="A69" s="4" t="s">
        <v>87</v>
      </c>
      <c r="B69" s="5">
        <v>889945</v>
      </c>
      <c r="C69" s="5" t="s">
        <v>118</v>
      </c>
      <c r="D69" s="5">
        <f t="shared" si="2"/>
        <v>-1</v>
      </c>
      <c r="E69" s="5">
        <v>-7</v>
      </c>
      <c r="F69" s="5">
        <f t="shared" si="3"/>
        <v>889952</v>
      </c>
      <c r="G69" s="5">
        <v>889901</v>
      </c>
      <c r="H69" s="5">
        <f t="shared" si="26"/>
        <v>890060</v>
      </c>
      <c r="I69" s="5" t="s">
        <v>366</v>
      </c>
      <c r="J69" s="6" t="s">
        <v>365</v>
      </c>
      <c r="K69" s="5">
        <v>889941</v>
      </c>
      <c r="L69" s="5" t="s">
        <v>175</v>
      </c>
      <c r="M69" s="5" t="s">
        <v>364</v>
      </c>
      <c r="N69" s="5">
        <v>889911</v>
      </c>
      <c r="O69" s="5">
        <v>889941</v>
      </c>
      <c r="P69" s="5" t="s">
        <v>367</v>
      </c>
      <c r="Q69" s="5" t="s">
        <v>368</v>
      </c>
      <c r="R69" s="5">
        <f>S69-25</f>
        <v>889916</v>
      </c>
      <c r="S69" s="5">
        <v>889941</v>
      </c>
      <c r="T69" s="5">
        <f t="shared" si="45"/>
        <v>15</v>
      </c>
      <c r="U69" s="5">
        <f t="shared" si="46"/>
        <v>40</v>
      </c>
      <c r="V69" s="5" t="s">
        <v>369</v>
      </c>
      <c r="W69" s="5" t="s">
        <v>144</v>
      </c>
      <c r="X69" s="5">
        <v>0</v>
      </c>
    </row>
    <row r="70" spans="1:24" s="20" customFormat="1" ht="17" x14ac:dyDescent="0.2">
      <c r="A70" s="4" t="s">
        <v>87</v>
      </c>
      <c r="B70" s="5">
        <v>889945</v>
      </c>
      <c r="C70" s="5" t="s">
        <v>118</v>
      </c>
      <c r="D70" s="5">
        <f t="shared" ref="D70" si="60">IF(C70="fwd",1,-1)</f>
        <v>-1</v>
      </c>
      <c r="E70" s="5">
        <v>-7</v>
      </c>
      <c r="F70" s="5">
        <f t="shared" ref="F70" si="61">B70+D70*E70</f>
        <v>889952</v>
      </c>
      <c r="G70" s="5">
        <v>889901</v>
      </c>
      <c r="H70" s="5">
        <f t="shared" ref="H70" si="62">G70+159</f>
        <v>890060</v>
      </c>
      <c r="I70" s="5" t="s">
        <v>366</v>
      </c>
      <c r="J70" s="6" t="s">
        <v>365</v>
      </c>
      <c r="K70" s="5">
        <v>889941</v>
      </c>
      <c r="L70" s="5" t="s">
        <v>175</v>
      </c>
      <c r="M70" s="5" t="s">
        <v>364</v>
      </c>
      <c r="N70" s="5" t="s">
        <v>143</v>
      </c>
      <c r="O70" s="5" t="s">
        <v>143</v>
      </c>
      <c r="P70" s="5" t="s">
        <v>143</v>
      </c>
      <c r="Q70" s="5" t="s">
        <v>143</v>
      </c>
      <c r="R70" s="5">
        <v>889950</v>
      </c>
      <c r="S70" s="5">
        <f>R70+17</f>
        <v>889967</v>
      </c>
      <c r="T70" s="5">
        <f t="shared" ref="T70" si="63">R70-G70</f>
        <v>49</v>
      </c>
      <c r="U70" s="5">
        <f t="shared" ref="U70" si="64">S70-G70</f>
        <v>66</v>
      </c>
      <c r="V70" s="5" t="s">
        <v>370</v>
      </c>
      <c r="W70" s="5" t="s">
        <v>135</v>
      </c>
      <c r="X70" s="5">
        <v>1</v>
      </c>
    </row>
    <row r="71" spans="1:24" s="20" customFormat="1" ht="17" x14ac:dyDescent="0.2">
      <c r="A71" s="4" t="s">
        <v>87</v>
      </c>
      <c r="B71" s="5">
        <v>889945</v>
      </c>
      <c r="C71" s="5" t="s">
        <v>118</v>
      </c>
      <c r="D71" s="5">
        <f t="shared" ref="D71" si="65">IF(C71="fwd",1,-1)</f>
        <v>-1</v>
      </c>
      <c r="E71" s="5">
        <v>-7</v>
      </c>
      <c r="F71" s="5">
        <f t="shared" ref="F71" si="66">B71+D71*E71</f>
        <v>889952</v>
      </c>
      <c r="G71" s="5">
        <v>889901</v>
      </c>
      <c r="H71" s="5">
        <f t="shared" ref="H71" si="67">G71+159</f>
        <v>890060</v>
      </c>
      <c r="I71" s="5" t="s">
        <v>366</v>
      </c>
      <c r="J71" s="6" t="s">
        <v>365</v>
      </c>
      <c r="K71" s="5">
        <v>889941</v>
      </c>
      <c r="L71" s="5" t="s">
        <v>175</v>
      </c>
      <c r="M71" s="5" t="s">
        <v>364</v>
      </c>
      <c r="N71" s="5" t="s">
        <v>143</v>
      </c>
      <c r="O71" s="5" t="s">
        <v>143</v>
      </c>
      <c r="P71" s="5" t="s">
        <v>143</v>
      </c>
      <c r="Q71" s="5" t="s">
        <v>143</v>
      </c>
      <c r="R71" s="5">
        <v>890021</v>
      </c>
      <c r="S71" s="5">
        <f>R71+30</f>
        <v>890051</v>
      </c>
      <c r="T71" s="5">
        <f t="shared" ref="T71" si="68">R71-G71</f>
        <v>120</v>
      </c>
      <c r="U71" s="5">
        <f t="shared" ref="U71" si="69">S71-G71</f>
        <v>150</v>
      </c>
      <c r="V71" s="5" t="s">
        <v>371</v>
      </c>
      <c r="W71" s="5" t="s">
        <v>152</v>
      </c>
      <c r="X71" s="5">
        <v>1</v>
      </c>
    </row>
    <row r="72" spans="1:24" s="20" customFormat="1" ht="17" x14ac:dyDescent="0.2">
      <c r="A72" s="4" t="s">
        <v>31</v>
      </c>
      <c r="B72" s="5">
        <v>2926272</v>
      </c>
      <c r="C72" s="5" t="s">
        <v>108</v>
      </c>
      <c r="D72" s="5">
        <f t="shared" si="2"/>
        <v>1</v>
      </c>
      <c r="E72" s="5">
        <v>-158</v>
      </c>
      <c r="F72" s="5">
        <f t="shared" si="3"/>
        <v>2926114</v>
      </c>
      <c r="G72" s="5">
        <v>2926158</v>
      </c>
      <c r="H72" s="5">
        <f t="shared" si="26"/>
        <v>2926317</v>
      </c>
      <c r="I72" s="5" t="s">
        <v>375</v>
      </c>
      <c r="J72" s="6" t="s">
        <v>374</v>
      </c>
      <c r="K72" s="5" t="s">
        <v>109</v>
      </c>
      <c r="L72" s="5" t="s">
        <v>143</v>
      </c>
      <c r="M72" s="4" t="s">
        <v>143</v>
      </c>
      <c r="N72" s="5">
        <v>2926293</v>
      </c>
      <c r="O72" s="5">
        <v>2926309</v>
      </c>
      <c r="P72" s="5" t="s">
        <v>377</v>
      </c>
      <c r="Q72" s="5" t="s">
        <v>152</v>
      </c>
      <c r="R72" s="5">
        <f>S72-12</f>
        <v>2926293</v>
      </c>
      <c r="S72" s="5">
        <f>2926317-12</f>
        <v>2926305</v>
      </c>
      <c r="T72" s="5">
        <f>R72-G72</f>
        <v>135</v>
      </c>
      <c r="U72" s="5">
        <f>S72-G72</f>
        <v>147</v>
      </c>
      <c r="V72" s="5" t="s">
        <v>376</v>
      </c>
      <c r="W72" s="5" t="s">
        <v>152</v>
      </c>
      <c r="X72" s="5">
        <v>0</v>
      </c>
    </row>
    <row r="73" spans="1:24" s="20" customFormat="1" ht="17" x14ac:dyDescent="0.2">
      <c r="A73" s="4" t="s">
        <v>31</v>
      </c>
      <c r="B73" s="5">
        <v>2926272</v>
      </c>
      <c r="C73" s="5" t="s">
        <v>108</v>
      </c>
      <c r="D73" s="5">
        <f t="shared" ref="D73" si="70">IF(C73="fwd",1,-1)</f>
        <v>1</v>
      </c>
      <c r="E73" s="5">
        <v>-158</v>
      </c>
      <c r="F73" s="5">
        <f t="shared" ref="F73" si="71">B73+D73*E73</f>
        <v>2926114</v>
      </c>
      <c r="G73" s="5">
        <v>2926158</v>
      </c>
      <c r="H73" s="5">
        <f t="shared" ref="H73" si="72">G73+159</f>
        <v>2926317</v>
      </c>
      <c r="I73" s="5" t="s">
        <v>375</v>
      </c>
      <c r="J73" s="6" t="s">
        <v>374</v>
      </c>
      <c r="K73" s="5" t="s">
        <v>109</v>
      </c>
      <c r="L73" s="5" t="s">
        <v>143</v>
      </c>
      <c r="M73" s="4" t="s">
        <v>143</v>
      </c>
      <c r="N73" s="5" t="s">
        <v>143</v>
      </c>
      <c r="O73" s="5" t="s">
        <v>143</v>
      </c>
      <c r="P73" s="5" t="s">
        <v>143</v>
      </c>
      <c r="Q73" s="5" t="s">
        <v>143</v>
      </c>
      <c r="R73" s="5">
        <f>S73-12</f>
        <v>2926304</v>
      </c>
      <c r="S73" s="5">
        <v>2926316</v>
      </c>
      <c r="T73" s="5">
        <f>R73-G73</f>
        <v>146</v>
      </c>
      <c r="U73" s="5">
        <f>S73-G73</f>
        <v>158</v>
      </c>
      <c r="V73" s="5" t="s">
        <v>378</v>
      </c>
      <c r="W73" s="5" t="s">
        <v>135</v>
      </c>
      <c r="X73" s="5">
        <v>1</v>
      </c>
    </row>
    <row r="74" spans="1:24" s="20" customFormat="1" ht="17" x14ac:dyDescent="0.2">
      <c r="A74" s="4" t="s">
        <v>70</v>
      </c>
      <c r="B74" s="5">
        <v>2870686</v>
      </c>
      <c r="C74" s="5" t="s">
        <v>118</v>
      </c>
      <c r="D74" s="5">
        <f t="shared" si="2"/>
        <v>-1</v>
      </c>
      <c r="E74" s="5">
        <v>0</v>
      </c>
      <c r="F74" s="5">
        <f t="shared" si="3"/>
        <v>2870686</v>
      </c>
      <c r="G74" s="5">
        <f>F74-44</f>
        <v>2870642</v>
      </c>
      <c r="H74" s="5">
        <f t="shared" si="26"/>
        <v>2870801</v>
      </c>
      <c r="I74" s="5" t="s">
        <v>380</v>
      </c>
      <c r="J74" s="6" t="s">
        <v>379</v>
      </c>
      <c r="K74" s="5" t="s">
        <v>109</v>
      </c>
      <c r="L74" s="5" t="s">
        <v>143</v>
      </c>
      <c r="M74" s="4" t="s">
        <v>143</v>
      </c>
      <c r="N74" s="5" t="s">
        <v>143</v>
      </c>
      <c r="O74" s="5" t="s">
        <v>143</v>
      </c>
      <c r="P74" s="5" t="s">
        <v>143</v>
      </c>
      <c r="Q74" s="5" t="s">
        <v>143</v>
      </c>
      <c r="R74" s="5" t="s">
        <v>143</v>
      </c>
      <c r="S74" s="5" t="s">
        <v>143</v>
      </c>
      <c r="T74" s="5" t="s">
        <v>143</v>
      </c>
      <c r="U74" s="5" t="s">
        <v>143</v>
      </c>
      <c r="V74" s="5" t="s">
        <v>143</v>
      </c>
      <c r="W74" s="5" t="s">
        <v>143</v>
      </c>
      <c r="X74" s="5" t="s">
        <v>143</v>
      </c>
    </row>
    <row r="75" spans="1:24" s="20" customFormat="1" ht="17" x14ac:dyDescent="0.2">
      <c r="A75" s="4" t="s">
        <v>88</v>
      </c>
      <c r="B75" s="5">
        <v>220022</v>
      </c>
      <c r="C75" s="5" t="s">
        <v>118</v>
      </c>
      <c r="D75" s="5">
        <f t="shared" si="2"/>
        <v>-1</v>
      </c>
      <c r="E75" s="5">
        <v>0</v>
      </c>
      <c r="F75" s="5">
        <f t="shared" si="3"/>
        <v>220022</v>
      </c>
      <c r="G75" s="5">
        <f>F75-44</f>
        <v>219978</v>
      </c>
      <c r="H75" s="5">
        <f t="shared" si="26"/>
        <v>220137</v>
      </c>
      <c r="I75" s="5" t="s">
        <v>381</v>
      </c>
      <c r="J75" s="6" t="s">
        <v>382</v>
      </c>
      <c r="K75" s="5" t="s">
        <v>109</v>
      </c>
      <c r="L75" s="5" t="s">
        <v>143</v>
      </c>
      <c r="M75" s="4" t="s">
        <v>143</v>
      </c>
      <c r="N75" s="5" t="s">
        <v>143</v>
      </c>
      <c r="O75" s="5" t="s">
        <v>143</v>
      </c>
      <c r="P75" s="5" t="s">
        <v>143</v>
      </c>
      <c r="Q75" s="5" t="s">
        <v>143</v>
      </c>
      <c r="R75" s="5">
        <f>S75-40</f>
        <v>220064</v>
      </c>
      <c r="S75" s="5">
        <v>220104</v>
      </c>
      <c r="T75" s="5">
        <f t="shared" si="45"/>
        <v>86</v>
      </c>
      <c r="U75" s="5">
        <f t="shared" si="46"/>
        <v>126</v>
      </c>
      <c r="V75" s="5" t="s">
        <v>383</v>
      </c>
      <c r="W75" s="5" t="s">
        <v>135</v>
      </c>
      <c r="X75" s="5">
        <v>1</v>
      </c>
    </row>
    <row r="76" spans="1:24" s="20" customFormat="1" ht="17" x14ac:dyDescent="0.2">
      <c r="A76" s="4" t="s">
        <v>23</v>
      </c>
      <c r="B76" s="5">
        <v>2082728</v>
      </c>
      <c r="C76" s="5" t="s">
        <v>108</v>
      </c>
      <c r="D76" s="5">
        <f t="shared" si="2"/>
        <v>1</v>
      </c>
      <c r="E76" s="5">
        <v>0</v>
      </c>
      <c r="F76" s="5">
        <f t="shared" si="3"/>
        <v>2082728</v>
      </c>
      <c r="G76" s="5">
        <v>2082614</v>
      </c>
      <c r="H76" s="5">
        <f t="shared" si="26"/>
        <v>2082773</v>
      </c>
      <c r="I76" s="5" t="s">
        <v>386</v>
      </c>
      <c r="J76" s="6" t="s">
        <v>384</v>
      </c>
      <c r="K76" s="5">
        <v>2082728</v>
      </c>
      <c r="L76" s="5"/>
      <c r="M76" s="5" t="s">
        <v>385</v>
      </c>
      <c r="N76" s="5">
        <v>2082728</v>
      </c>
      <c r="O76" s="5">
        <v>2082756</v>
      </c>
      <c r="P76" s="5" t="s">
        <v>387</v>
      </c>
      <c r="Q76" s="5" t="s">
        <v>144</v>
      </c>
      <c r="R76" s="5">
        <v>2082725</v>
      </c>
      <c r="S76" s="5">
        <f>R76+25</f>
        <v>2082750</v>
      </c>
      <c r="T76" s="5">
        <f t="shared" si="45"/>
        <v>111</v>
      </c>
      <c r="U76" s="5">
        <f t="shared" si="46"/>
        <v>136</v>
      </c>
      <c r="V76" s="5" t="s">
        <v>388</v>
      </c>
      <c r="W76" s="5" t="s">
        <v>144</v>
      </c>
      <c r="X76" s="5">
        <v>0</v>
      </c>
    </row>
    <row r="77" spans="1:24" s="20" customFormat="1" ht="17" x14ac:dyDescent="0.2">
      <c r="A77" s="4" t="s">
        <v>23</v>
      </c>
      <c r="B77" s="5">
        <v>2082728</v>
      </c>
      <c r="C77" s="5" t="s">
        <v>108</v>
      </c>
      <c r="D77" s="5">
        <f t="shared" ref="D77" si="73">IF(C77="fwd",1,-1)</f>
        <v>1</v>
      </c>
      <c r="E77" s="5">
        <v>0</v>
      </c>
      <c r="F77" s="5">
        <f t="shared" ref="F77" si="74">B77+D77*E77</f>
        <v>2082728</v>
      </c>
      <c r="G77" s="5">
        <v>2082614</v>
      </c>
      <c r="H77" s="5">
        <f t="shared" ref="H77" si="75">G77+159</f>
        <v>2082773</v>
      </c>
      <c r="I77" s="5" t="s">
        <v>386</v>
      </c>
      <c r="J77" s="6" t="s">
        <v>384</v>
      </c>
      <c r="K77" s="5">
        <v>2082728</v>
      </c>
      <c r="L77" s="5"/>
      <c r="M77" s="5" t="s">
        <v>385</v>
      </c>
      <c r="N77" s="5" t="s">
        <v>143</v>
      </c>
      <c r="O77" s="5" t="s">
        <v>143</v>
      </c>
      <c r="P77" s="5" t="s">
        <v>143</v>
      </c>
      <c r="Q77" s="5" t="s">
        <v>143</v>
      </c>
      <c r="R77" s="5">
        <f>S77-17</f>
        <v>2082633</v>
      </c>
      <c r="S77" s="5">
        <v>2082650</v>
      </c>
      <c r="T77" s="5">
        <f t="shared" ref="T77" si="76">R77-G77</f>
        <v>19</v>
      </c>
      <c r="U77" s="5">
        <f t="shared" ref="U77" si="77">S77-G77</f>
        <v>36</v>
      </c>
      <c r="V77" s="5" t="s">
        <v>389</v>
      </c>
      <c r="W77" s="5" t="s">
        <v>152</v>
      </c>
      <c r="X77" s="5">
        <v>1</v>
      </c>
    </row>
    <row r="78" spans="1:24" s="20" customFormat="1" ht="17" x14ac:dyDescent="0.2">
      <c r="A78" s="4" t="s">
        <v>32</v>
      </c>
      <c r="B78" s="5">
        <v>2999918</v>
      </c>
      <c r="C78" s="5" t="s">
        <v>118</v>
      </c>
      <c r="D78" s="5">
        <f t="shared" si="2"/>
        <v>-1</v>
      </c>
      <c r="E78" s="5">
        <v>0</v>
      </c>
      <c r="F78" s="5">
        <f t="shared" si="3"/>
        <v>2999918</v>
      </c>
      <c r="G78" s="5">
        <f>F78-44</f>
        <v>2999874</v>
      </c>
      <c r="H78" s="5">
        <f t="shared" si="26"/>
        <v>3000033</v>
      </c>
      <c r="I78" s="5" t="s">
        <v>392</v>
      </c>
      <c r="J78" s="6" t="s">
        <v>391</v>
      </c>
      <c r="K78" s="7">
        <v>3000039</v>
      </c>
      <c r="L78" s="7" t="s">
        <v>132</v>
      </c>
      <c r="M78" s="7" t="s">
        <v>390</v>
      </c>
      <c r="N78" s="5">
        <v>3000010</v>
      </c>
      <c r="O78" s="5">
        <v>3000039</v>
      </c>
      <c r="P78" s="5" t="s">
        <v>393</v>
      </c>
      <c r="Q78" s="5" t="s">
        <v>144</v>
      </c>
      <c r="R78" s="5">
        <v>3000019</v>
      </c>
      <c r="S78" s="5">
        <v>3000033</v>
      </c>
      <c r="T78" s="5">
        <f t="shared" si="45"/>
        <v>145</v>
      </c>
      <c r="U78" s="5">
        <f t="shared" si="46"/>
        <v>159</v>
      </c>
      <c r="V78" s="5" t="s">
        <v>394</v>
      </c>
      <c r="W78" s="5" t="s">
        <v>144</v>
      </c>
      <c r="X78" s="5">
        <v>0</v>
      </c>
    </row>
    <row r="79" spans="1:24" s="20" customFormat="1" ht="17" x14ac:dyDescent="0.2">
      <c r="A79" s="4" t="s">
        <v>32</v>
      </c>
      <c r="B79" s="5">
        <v>2999918</v>
      </c>
      <c r="C79" s="5" t="s">
        <v>118</v>
      </c>
      <c r="D79" s="5">
        <f t="shared" ref="D79" si="78">IF(C79="fwd",1,-1)</f>
        <v>-1</v>
      </c>
      <c r="E79" s="5">
        <v>0</v>
      </c>
      <c r="F79" s="5">
        <f t="shared" ref="F79" si="79">B79+D79*E79</f>
        <v>2999918</v>
      </c>
      <c r="G79" s="5">
        <f>F79-44</f>
        <v>2999874</v>
      </c>
      <c r="H79" s="5">
        <f t="shared" ref="H79" si="80">G79+159</f>
        <v>3000033</v>
      </c>
      <c r="I79" s="5" t="s">
        <v>392</v>
      </c>
      <c r="J79" s="6" t="s">
        <v>391</v>
      </c>
      <c r="K79" s="7">
        <v>3000039</v>
      </c>
      <c r="L79" s="7" t="s">
        <v>132</v>
      </c>
      <c r="M79" s="7" t="s">
        <v>390</v>
      </c>
      <c r="N79" s="5" t="s">
        <v>143</v>
      </c>
      <c r="O79" s="5" t="s">
        <v>143</v>
      </c>
      <c r="P79" s="5" t="s">
        <v>143</v>
      </c>
      <c r="Q79" s="5" t="s">
        <v>143</v>
      </c>
      <c r="R79" s="5">
        <f>S79-25</f>
        <v>2999965</v>
      </c>
      <c r="S79" s="5">
        <v>2999990</v>
      </c>
      <c r="T79" s="5">
        <f t="shared" ref="T79" si="81">R79-G79</f>
        <v>91</v>
      </c>
      <c r="U79" s="5">
        <f t="shared" ref="U79" si="82">S79-G79</f>
        <v>116</v>
      </c>
      <c r="V79" s="5" t="s">
        <v>395</v>
      </c>
      <c r="W79" s="5" t="s">
        <v>135</v>
      </c>
      <c r="X79" s="5">
        <v>1</v>
      </c>
    </row>
    <row r="80" spans="1:24" s="20" customFormat="1" ht="17" x14ac:dyDescent="0.2">
      <c r="A80" s="4" t="s">
        <v>32</v>
      </c>
      <c r="B80" s="5">
        <v>2999918</v>
      </c>
      <c r="C80" s="5" t="s">
        <v>118</v>
      </c>
      <c r="D80" s="5">
        <f t="shared" ref="D80" si="83">IF(C80="fwd",1,-1)</f>
        <v>-1</v>
      </c>
      <c r="E80" s="5">
        <v>0</v>
      </c>
      <c r="F80" s="5">
        <f t="shared" ref="F80" si="84">B80+D80*E80</f>
        <v>2999918</v>
      </c>
      <c r="G80" s="5">
        <f>F80-44</f>
        <v>2999874</v>
      </c>
      <c r="H80" s="5">
        <f t="shared" ref="H80" si="85">G80+159</f>
        <v>3000033</v>
      </c>
      <c r="I80" s="5" t="s">
        <v>392</v>
      </c>
      <c r="J80" s="6" t="s">
        <v>391</v>
      </c>
      <c r="K80" s="7">
        <v>3000039</v>
      </c>
      <c r="L80" s="7" t="s">
        <v>132</v>
      </c>
      <c r="M80" s="7" t="s">
        <v>390</v>
      </c>
      <c r="N80" s="5" t="s">
        <v>143</v>
      </c>
      <c r="O80" s="5" t="s">
        <v>143</v>
      </c>
      <c r="P80" s="5" t="s">
        <v>143</v>
      </c>
      <c r="Q80" s="5" t="s">
        <v>143</v>
      </c>
      <c r="R80" s="5">
        <v>2999890</v>
      </c>
      <c r="S80" s="5">
        <f>R80+17</f>
        <v>2999907</v>
      </c>
      <c r="T80" s="5">
        <f t="shared" ref="T80" si="86">R80-G80</f>
        <v>16</v>
      </c>
      <c r="U80" s="5">
        <f t="shared" ref="U80" si="87">S80-G80</f>
        <v>33</v>
      </c>
      <c r="V80" s="5" t="s">
        <v>396</v>
      </c>
      <c r="W80" s="5" t="s">
        <v>152</v>
      </c>
      <c r="X80" s="5">
        <v>1</v>
      </c>
    </row>
    <row r="81" spans="1:24" s="20" customFormat="1" ht="17" x14ac:dyDescent="0.2">
      <c r="A81" s="4" t="s">
        <v>97</v>
      </c>
      <c r="B81" s="5">
        <v>486492</v>
      </c>
      <c r="C81" s="5" t="s">
        <v>108</v>
      </c>
      <c r="D81" s="5">
        <f t="shared" si="2"/>
        <v>1</v>
      </c>
      <c r="E81" s="5">
        <v>0</v>
      </c>
      <c r="F81" s="5">
        <f t="shared" si="3"/>
        <v>486492</v>
      </c>
      <c r="G81" s="5">
        <v>486378</v>
      </c>
      <c r="H81" s="5">
        <f t="shared" si="26"/>
        <v>486537</v>
      </c>
      <c r="I81" s="5" t="s">
        <v>399</v>
      </c>
      <c r="J81" s="6" t="s">
        <v>398</v>
      </c>
      <c r="K81" s="5">
        <v>486492</v>
      </c>
      <c r="L81" s="5"/>
      <c r="M81" s="5" t="s">
        <v>397</v>
      </c>
      <c r="N81" s="5">
        <v>486492</v>
      </c>
      <c r="O81" s="5">
        <v>486520</v>
      </c>
      <c r="P81" s="5" t="s">
        <v>400</v>
      </c>
      <c r="Q81" s="5" t="s">
        <v>144</v>
      </c>
      <c r="R81" s="5">
        <v>486510</v>
      </c>
      <c r="S81" s="5">
        <v>486520</v>
      </c>
      <c r="T81" s="5">
        <f t="shared" si="45"/>
        <v>132</v>
      </c>
      <c r="U81" s="5">
        <f t="shared" si="46"/>
        <v>142</v>
      </c>
      <c r="V81" s="5" t="s">
        <v>401</v>
      </c>
      <c r="W81" s="5" t="s">
        <v>144</v>
      </c>
      <c r="X81" s="5">
        <v>0</v>
      </c>
    </row>
    <row r="82" spans="1:24" s="20" customFormat="1" ht="17" x14ac:dyDescent="0.2">
      <c r="A82" s="4" t="s">
        <v>97</v>
      </c>
      <c r="B82" s="5">
        <v>486492</v>
      </c>
      <c r="C82" s="5" t="s">
        <v>108</v>
      </c>
      <c r="D82" s="5">
        <f t="shared" ref="D82" si="88">IF(C82="fwd",1,-1)</f>
        <v>1</v>
      </c>
      <c r="E82" s="5">
        <v>0</v>
      </c>
      <c r="F82" s="5">
        <f t="shared" ref="F82" si="89">B82+D82*E82</f>
        <v>486492</v>
      </c>
      <c r="G82" s="5">
        <v>486378</v>
      </c>
      <c r="H82" s="5">
        <f t="shared" ref="H82" si="90">G82+159</f>
        <v>486537</v>
      </c>
      <c r="I82" s="5" t="s">
        <v>399</v>
      </c>
      <c r="J82" s="6" t="s">
        <v>398</v>
      </c>
      <c r="K82" s="5">
        <v>486492</v>
      </c>
      <c r="L82" s="5"/>
      <c r="M82" s="5" t="s">
        <v>397</v>
      </c>
      <c r="N82" s="5" t="s">
        <v>143</v>
      </c>
      <c r="O82" s="5" t="s">
        <v>143</v>
      </c>
      <c r="P82" s="5" t="s">
        <v>143</v>
      </c>
      <c r="Q82" s="5" t="s">
        <v>143</v>
      </c>
      <c r="R82" s="5">
        <f>S82-10</f>
        <v>486448</v>
      </c>
      <c r="S82" s="5">
        <v>486458</v>
      </c>
      <c r="T82" s="5">
        <f t="shared" ref="T82" si="91">R82-G82</f>
        <v>70</v>
      </c>
      <c r="U82" s="5">
        <f t="shared" ref="U82" si="92">S82-G82</f>
        <v>80</v>
      </c>
      <c r="V82" s="5" t="s">
        <v>409</v>
      </c>
      <c r="W82" s="5" t="s">
        <v>152</v>
      </c>
      <c r="X82" s="5">
        <v>1</v>
      </c>
    </row>
    <row r="83" spans="1:24" s="20" customFormat="1" ht="17" x14ac:dyDescent="0.2">
      <c r="A83" s="4" t="s">
        <v>63</v>
      </c>
      <c r="B83" s="5">
        <v>3069871</v>
      </c>
      <c r="C83" s="5" t="s">
        <v>118</v>
      </c>
      <c r="D83" s="5">
        <f t="shared" si="2"/>
        <v>-1</v>
      </c>
      <c r="E83" s="5">
        <v>0</v>
      </c>
      <c r="F83" s="5">
        <f t="shared" si="3"/>
        <v>3069871</v>
      </c>
      <c r="G83" s="5">
        <f t="shared" ref="G83:G88" si="93">F83-44</f>
        <v>3069827</v>
      </c>
      <c r="H83" s="5">
        <f t="shared" si="26"/>
        <v>3069986</v>
      </c>
      <c r="I83" s="5" t="s">
        <v>404</v>
      </c>
      <c r="J83" s="6" t="s">
        <v>403</v>
      </c>
      <c r="K83" s="5">
        <v>3069871</v>
      </c>
      <c r="L83" s="5"/>
      <c r="M83" s="5" t="s">
        <v>402</v>
      </c>
      <c r="N83" s="5">
        <v>3069845</v>
      </c>
      <c r="O83" s="5">
        <v>3069871</v>
      </c>
      <c r="P83" s="5" t="s">
        <v>405</v>
      </c>
      <c r="Q83" s="5" t="s">
        <v>165</v>
      </c>
      <c r="R83" s="5">
        <v>3069838</v>
      </c>
      <c r="S83" s="5">
        <f>R83+40</f>
        <v>3069878</v>
      </c>
      <c r="T83" s="5">
        <f t="shared" si="45"/>
        <v>11</v>
      </c>
      <c r="U83" s="5">
        <f t="shared" si="46"/>
        <v>51</v>
      </c>
      <c r="V83" s="5" t="s">
        <v>406</v>
      </c>
      <c r="W83" s="5" t="s">
        <v>144</v>
      </c>
      <c r="X83" s="5">
        <v>0</v>
      </c>
    </row>
    <row r="84" spans="1:24" s="20" customFormat="1" ht="17" x14ac:dyDescent="0.2">
      <c r="A84" s="4" t="s">
        <v>63</v>
      </c>
      <c r="B84" s="5">
        <v>3069871</v>
      </c>
      <c r="C84" s="5" t="s">
        <v>118</v>
      </c>
      <c r="D84" s="5">
        <f t="shared" ref="D84" si="94">IF(C84="fwd",1,-1)</f>
        <v>-1</v>
      </c>
      <c r="E84" s="5">
        <v>0</v>
      </c>
      <c r="F84" s="5">
        <f t="shared" ref="F84" si="95">B84+D84*E84</f>
        <v>3069871</v>
      </c>
      <c r="G84" s="5">
        <f t="shared" si="93"/>
        <v>3069827</v>
      </c>
      <c r="H84" s="5">
        <f t="shared" ref="H84" si="96">G84+159</f>
        <v>3069986</v>
      </c>
      <c r="I84" s="5" t="s">
        <v>404</v>
      </c>
      <c r="J84" s="6" t="s">
        <v>403</v>
      </c>
      <c r="K84" s="5">
        <v>3069871</v>
      </c>
      <c r="L84" s="5"/>
      <c r="M84" s="5" t="s">
        <v>402</v>
      </c>
      <c r="N84" s="5" t="s">
        <v>143</v>
      </c>
      <c r="O84" s="5" t="s">
        <v>143</v>
      </c>
      <c r="P84" s="5" t="s">
        <v>143</v>
      </c>
      <c r="Q84" s="5" t="s">
        <v>143</v>
      </c>
      <c r="R84" s="5">
        <v>3069895</v>
      </c>
      <c r="S84" s="5">
        <f>R84+12</f>
        <v>3069907</v>
      </c>
      <c r="T84" s="5">
        <f t="shared" ref="T84" si="97">R84-G84</f>
        <v>68</v>
      </c>
      <c r="U84" s="5">
        <f t="shared" ref="U84" si="98">S84-G84</f>
        <v>80</v>
      </c>
      <c r="V84" s="5" t="s">
        <v>407</v>
      </c>
      <c r="W84" s="5" t="s">
        <v>152</v>
      </c>
      <c r="X84" s="5">
        <v>1</v>
      </c>
    </row>
    <row r="85" spans="1:24" s="20" customFormat="1" ht="17" x14ac:dyDescent="0.2">
      <c r="A85" s="4" t="s">
        <v>63</v>
      </c>
      <c r="B85" s="5">
        <v>3069871</v>
      </c>
      <c r="C85" s="5" t="s">
        <v>118</v>
      </c>
      <c r="D85" s="5">
        <f t="shared" ref="D85" si="99">IF(C85="fwd",1,-1)</f>
        <v>-1</v>
      </c>
      <c r="E85" s="5">
        <v>0</v>
      </c>
      <c r="F85" s="5">
        <f t="shared" ref="F85" si="100">B85+D85*E85</f>
        <v>3069871</v>
      </c>
      <c r="G85" s="5">
        <f t="shared" si="93"/>
        <v>3069827</v>
      </c>
      <c r="H85" s="5">
        <f t="shared" ref="H85" si="101">G85+159</f>
        <v>3069986</v>
      </c>
      <c r="I85" s="5" t="s">
        <v>404</v>
      </c>
      <c r="J85" s="6" t="s">
        <v>403</v>
      </c>
      <c r="K85" s="5">
        <v>3069871</v>
      </c>
      <c r="L85" s="5"/>
      <c r="M85" s="5" t="s">
        <v>402</v>
      </c>
      <c r="N85" s="5" t="s">
        <v>143</v>
      </c>
      <c r="O85" s="5" t="s">
        <v>143</v>
      </c>
      <c r="P85" s="5" t="s">
        <v>143</v>
      </c>
      <c r="Q85" s="5" t="s">
        <v>143</v>
      </c>
      <c r="R85" s="5">
        <v>3069951</v>
      </c>
      <c r="S85" s="5">
        <f>R85+13</f>
        <v>3069964</v>
      </c>
      <c r="T85" s="5">
        <f t="shared" ref="T85" si="102">R85-G85</f>
        <v>124</v>
      </c>
      <c r="U85" s="5">
        <f t="shared" ref="U85" si="103">S85-G85</f>
        <v>137</v>
      </c>
      <c r="V85" s="5" t="s">
        <v>408</v>
      </c>
      <c r="W85" s="5" t="s">
        <v>135</v>
      </c>
      <c r="X85" s="5">
        <v>1</v>
      </c>
    </row>
    <row r="86" spans="1:24" s="20" customFormat="1" ht="17" x14ac:dyDescent="0.2">
      <c r="A86" s="4" t="s">
        <v>34</v>
      </c>
      <c r="B86" s="5">
        <v>1395973</v>
      </c>
      <c r="C86" s="5" t="s">
        <v>118</v>
      </c>
      <c r="D86" s="5">
        <f t="shared" si="2"/>
        <v>-1</v>
      </c>
      <c r="E86" s="5">
        <v>0</v>
      </c>
      <c r="F86" s="5">
        <f t="shared" si="3"/>
        <v>1395973</v>
      </c>
      <c r="G86" s="5">
        <f t="shared" si="93"/>
        <v>1395929</v>
      </c>
      <c r="H86" s="5">
        <f t="shared" si="26"/>
        <v>1396088</v>
      </c>
      <c r="I86" s="5" t="s">
        <v>412</v>
      </c>
      <c r="J86" s="6" t="s">
        <v>411</v>
      </c>
      <c r="K86" s="5">
        <v>1395973</v>
      </c>
      <c r="L86" s="5"/>
      <c r="M86" s="5" t="s">
        <v>410</v>
      </c>
      <c r="N86" s="5">
        <v>1395940</v>
      </c>
      <c r="O86" s="5">
        <v>1395973</v>
      </c>
      <c r="P86" s="5" t="s">
        <v>413</v>
      </c>
      <c r="Q86" s="5" t="s">
        <v>165</v>
      </c>
      <c r="R86" s="5">
        <v>1395939</v>
      </c>
      <c r="S86" s="5">
        <f>R86+10</f>
        <v>1395949</v>
      </c>
      <c r="T86" s="5">
        <f t="shared" si="45"/>
        <v>10</v>
      </c>
      <c r="U86" s="5">
        <f t="shared" si="46"/>
        <v>20</v>
      </c>
      <c r="V86" s="5" t="s">
        <v>415</v>
      </c>
      <c r="W86" s="5" t="s">
        <v>144</v>
      </c>
      <c r="X86" s="5">
        <v>0</v>
      </c>
    </row>
    <row r="87" spans="1:24" s="20" customFormat="1" ht="17" x14ac:dyDescent="0.2">
      <c r="A87" s="4" t="s">
        <v>34</v>
      </c>
      <c r="B87" s="5">
        <v>1395973</v>
      </c>
      <c r="C87" s="5" t="s">
        <v>118</v>
      </c>
      <c r="D87" s="5">
        <f t="shared" ref="D87" si="104">IF(C87="fwd",1,-1)</f>
        <v>-1</v>
      </c>
      <c r="E87" s="5">
        <v>0</v>
      </c>
      <c r="F87" s="5">
        <f t="shared" ref="F87" si="105">B87+D87*E87</f>
        <v>1395973</v>
      </c>
      <c r="G87" s="5">
        <f t="shared" si="93"/>
        <v>1395929</v>
      </c>
      <c r="H87" s="5">
        <f t="shared" ref="H87" si="106">G87+159</f>
        <v>1396088</v>
      </c>
      <c r="I87" s="5" t="s">
        <v>412</v>
      </c>
      <c r="J87" s="6" t="s">
        <v>411</v>
      </c>
      <c r="K87" s="5">
        <v>1395973</v>
      </c>
      <c r="L87" s="5"/>
      <c r="M87" s="5" t="s">
        <v>410</v>
      </c>
      <c r="N87" s="5" t="s">
        <v>143</v>
      </c>
      <c r="O87" s="5" t="s">
        <v>143</v>
      </c>
      <c r="P87" s="5" t="s">
        <v>143</v>
      </c>
      <c r="Q87" s="5" t="s">
        <v>143</v>
      </c>
      <c r="R87" s="5">
        <v>1396040</v>
      </c>
      <c r="S87" s="5">
        <f>R87+16</f>
        <v>1396056</v>
      </c>
      <c r="T87" s="5">
        <f t="shared" ref="T87" si="107">R87-G87</f>
        <v>111</v>
      </c>
      <c r="U87" s="5">
        <f t="shared" ref="U87" si="108">S87-G87</f>
        <v>127</v>
      </c>
      <c r="V87" s="5" t="s">
        <v>414</v>
      </c>
      <c r="W87" s="5" t="s">
        <v>152</v>
      </c>
      <c r="X87" s="5">
        <v>1</v>
      </c>
    </row>
    <row r="88" spans="1:24" s="20" customFormat="1" ht="17" x14ac:dyDescent="0.2">
      <c r="A88" s="4" t="s">
        <v>26</v>
      </c>
      <c r="B88" s="5">
        <v>604684</v>
      </c>
      <c r="C88" s="5" t="s">
        <v>118</v>
      </c>
      <c r="D88" s="5">
        <f t="shared" si="2"/>
        <v>-1</v>
      </c>
      <c r="E88" s="5">
        <v>0</v>
      </c>
      <c r="F88" s="5">
        <f t="shared" si="3"/>
        <v>604684</v>
      </c>
      <c r="G88" s="5">
        <f t="shared" si="93"/>
        <v>604640</v>
      </c>
      <c r="H88" s="5">
        <f t="shared" si="26"/>
        <v>604799</v>
      </c>
      <c r="I88" s="5" t="s">
        <v>417</v>
      </c>
      <c r="J88" s="6" t="s">
        <v>416</v>
      </c>
      <c r="K88" s="5" t="s">
        <v>109</v>
      </c>
      <c r="L88" s="5" t="s">
        <v>143</v>
      </c>
      <c r="M88" s="5" t="s">
        <v>143</v>
      </c>
      <c r="N88" s="5" t="s">
        <v>143</v>
      </c>
      <c r="O88" s="5" t="s">
        <v>143</v>
      </c>
      <c r="P88" s="5" t="s">
        <v>143</v>
      </c>
      <c r="Q88" s="5" t="s">
        <v>143</v>
      </c>
      <c r="R88" s="5" t="s">
        <v>143</v>
      </c>
      <c r="S88" s="5" t="s">
        <v>143</v>
      </c>
      <c r="T88" s="5" t="s">
        <v>143</v>
      </c>
      <c r="U88" s="5" t="s">
        <v>143</v>
      </c>
      <c r="V88" s="5" t="s">
        <v>143</v>
      </c>
      <c r="W88" s="5" t="s">
        <v>143</v>
      </c>
      <c r="X88" s="5">
        <v>0</v>
      </c>
    </row>
    <row r="89" spans="1:24" s="20" customFormat="1" ht="17" x14ac:dyDescent="0.2">
      <c r="A89" s="4" t="s">
        <v>92</v>
      </c>
      <c r="B89" s="5">
        <v>1509221</v>
      </c>
      <c r="C89" s="5" t="s">
        <v>108</v>
      </c>
      <c r="D89" s="5">
        <f t="shared" si="2"/>
        <v>1</v>
      </c>
      <c r="E89" s="5">
        <v>0</v>
      </c>
      <c r="F89" s="5">
        <f t="shared" si="3"/>
        <v>1509221</v>
      </c>
      <c r="G89" s="5">
        <v>1509107</v>
      </c>
      <c r="H89" s="5">
        <f t="shared" si="26"/>
        <v>1509266</v>
      </c>
      <c r="I89" s="5" t="s">
        <v>419</v>
      </c>
      <c r="J89" s="6" t="s">
        <v>418</v>
      </c>
      <c r="K89" s="5" t="s">
        <v>109</v>
      </c>
      <c r="L89" s="5" t="s">
        <v>143</v>
      </c>
      <c r="M89" s="5" t="s">
        <v>143</v>
      </c>
      <c r="N89" s="5">
        <v>1509221</v>
      </c>
      <c r="O89" s="5">
        <v>1509234</v>
      </c>
      <c r="P89" s="5" t="s">
        <v>420</v>
      </c>
      <c r="Q89" s="5" t="s">
        <v>218</v>
      </c>
      <c r="R89" s="5">
        <v>1509220</v>
      </c>
      <c r="S89" s="5">
        <f>R89+15</f>
        <v>1509235</v>
      </c>
      <c r="T89" s="5">
        <f t="shared" si="45"/>
        <v>113</v>
      </c>
      <c r="U89" s="5">
        <f t="shared" si="46"/>
        <v>128</v>
      </c>
      <c r="V89" s="5" t="s">
        <v>421</v>
      </c>
      <c r="W89" s="5" t="s">
        <v>144</v>
      </c>
      <c r="X89" s="5">
        <v>1</v>
      </c>
    </row>
    <row r="90" spans="1:24" s="20" customFormat="1" ht="17" x14ac:dyDescent="0.2">
      <c r="A90" s="4" t="s">
        <v>92</v>
      </c>
      <c r="B90" s="5">
        <v>1509221</v>
      </c>
      <c r="C90" s="5" t="s">
        <v>108</v>
      </c>
      <c r="D90" s="5">
        <f t="shared" ref="D90" si="109">IF(C90="fwd",1,-1)</f>
        <v>1</v>
      </c>
      <c r="E90" s="5">
        <v>0</v>
      </c>
      <c r="F90" s="5">
        <f t="shared" ref="F90" si="110">B90+D90*E90</f>
        <v>1509221</v>
      </c>
      <c r="G90" s="5">
        <v>1509107</v>
      </c>
      <c r="H90" s="5">
        <f t="shared" ref="H90" si="111">G90+159</f>
        <v>1509266</v>
      </c>
      <c r="I90" s="5" t="s">
        <v>419</v>
      </c>
      <c r="J90" s="6" t="s">
        <v>418</v>
      </c>
      <c r="K90" s="5" t="s">
        <v>109</v>
      </c>
      <c r="L90" s="5" t="s">
        <v>143</v>
      </c>
      <c r="M90" s="5" t="s">
        <v>143</v>
      </c>
      <c r="N90" s="5">
        <v>1509234</v>
      </c>
      <c r="O90" s="5">
        <v>1509255</v>
      </c>
      <c r="P90" s="5" t="s">
        <v>422</v>
      </c>
      <c r="Q90" s="5" t="s">
        <v>290</v>
      </c>
      <c r="R90" s="5">
        <v>1509235</v>
      </c>
      <c r="S90" s="5">
        <f>R90+21</f>
        <v>1509256</v>
      </c>
      <c r="T90" s="5">
        <f t="shared" ref="T90" si="112">R90-G90</f>
        <v>128</v>
      </c>
      <c r="U90" s="5">
        <f t="shared" ref="U90" si="113">S90-G90</f>
        <v>149</v>
      </c>
      <c r="V90" s="5" t="s">
        <v>423</v>
      </c>
      <c r="W90" s="5" t="s">
        <v>152</v>
      </c>
      <c r="X90" s="5">
        <v>1</v>
      </c>
    </row>
    <row r="91" spans="1:24" s="20" customFormat="1" ht="17" x14ac:dyDescent="0.2">
      <c r="A91" s="4" t="s">
        <v>7</v>
      </c>
      <c r="B91" s="5">
        <v>3353049</v>
      </c>
      <c r="C91" s="5" t="s">
        <v>118</v>
      </c>
      <c r="D91" s="5">
        <f t="shared" si="2"/>
        <v>-1</v>
      </c>
      <c r="E91" s="5">
        <v>0</v>
      </c>
      <c r="F91" s="5">
        <f t="shared" si="3"/>
        <v>3353049</v>
      </c>
      <c r="G91" s="5">
        <f t="shared" ref="G91:G96" si="114">F91-44</f>
        <v>3353005</v>
      </c>
      <c r="H91" s="5">
        <f t="shared" si="26"/>
        <v>3353164</v>
      </c>
      <c r="I91" s="5" t="s">
        <v>426</v>
      </c>
      <c r="J91" s="6" t="s">
        <v>425</v>
      </c>
      <c r="K91" s="5">
        <v>3353049</v>
      </c>
      <c r="L91" s="5"/>
      <c r="M91" s="5" t="s">
        <v>424</v>
      </c>
      <c r="N91" s="5">
        <v>3353025</v>
      </c>
      <c r="O91" s="5">
        <v>3353049</v>
      </c>
      <c r="P91" s="5" t="s">
        <v>427</v>
      </c>
      <c r="Q91" s="5" t="s">
        <v>165</v>
      </c>
      <c r="R91" s="5">
        <v>3353055</v>
      </c>
      <c r="S91" s="5">
        <f>R91+40</f>
        <v>3353095</v>
      </c>
      <c r="T91" s="5">
        <f t="shared" si="45"/>
        <v>50</v>
      </c>
      <c r="U91" s="5">
        <f t="shared" si="46"/>
        <v>90</v>
      </c>
      <c r="V91" s="5" t="s">
        <v>428</v>
      </c>
      <c r="W91" s="5" t="s">
        <v>144</v>
      </c>
      <c r="X91" s="5">
        <v>0</v>
      </c>
    </row>
    <row r="92" spans="1:24" s="20" customFormat="1" ht="17" x14ac:dyDescent="0.2">
      <c r="A92" s="4" t="s">
        <v>15</v>
      </c>
      <c r="B92" s="5">
        <v>1226139</v>
      </c>
      <c r="C92" s="5" t="s">
        <v>118</v>
      </c>
      <c r="D92" s="5">
        <f t="shared" si="2"/>
        <v>-1</v>
      </c>
      <c r="E92" s="5">
        <v>0</v>
      </c>
      <c r="F92" s="5">
        <f t="shared" si="3"/>
        <v>1226139</v>
      </c>
      <c r="G92" s="5">
        <f t="shared" si="114"/>
        <v>1226095</v>
      </c>
      <c r="H92" s="5">
        <f t="shared" si="26"/>
        <v>1226254</v>
      </c>
      <c r="I92" s="5" t="s">
        <v>430</v>
      </c>
      <c r="J92" s="6" t="s">
        <v>429</v>
      </c>
      <c r="K92" s="5" t="s">
        <v>109</v>
      </c>
      <c r="L92" s="5" t="s">
        <v>143</v>
      </c>
      <c r="M92" s="5" t="s">
        <v>143</v>
      </c>
      <c r="N92" s="5" t="s">
        <v>143</v>
      </c>
      <c r="O92" s="5" t="s">
        <v>143</v>
      </c>
      <c r="P92" s="5" t="s">
        <v>143</v>
      </c>
      <c r="Q92" s="5" t="s">
        <v>143</v>
      </c>
      <c r="R92" s="5">
        <f>S92-17</f>
        <v>1226182</v>
      </c>
      <c r="S92" s="5">
        <v>1226199</v>
      </c>
      <c r="T92" s="5">
        <f t="shared" si="45"/>
        <v>87</v>
      </c>
      <c r="U92" s="5">
        <f t="shared" si="46"/>
        <v>104</v>
      </c>
      <c r="V92" s="5" t="s">
        <v>431</v>
      </c>
      <c r="W92" s="5" t="s">
        <v>135</v>
      </c>
      <c r="X92" s="5">
        <v>1</v>
      </c>
    </row>
    <row r="93" spans="1:24" s="20" customFormat="1" ht="17" x14ac:dyDescent="0.2">
      <c r="A93" s="4" t="s">
        <v>43</v>
      </c>
      <c r="B93" s="5">
        <v>693469</v>
      </c>
      <c r="C93" s="5" t="s">
        <v>118</v>
      </c>
      <c r="D93" s="5">
        <f t="shared" si="2"/>
        <v>-1</v>
      </c>
      <c r="E93" s="5">
        <v>0</v>
      </c>
      <c r="F93" s="5">
        <f t="shared" si="3"/>
        <v>693469</v>
      </c>
      <c r="G93" s="5">
        <f t="shared" si="114"/>
        <v>693425</v>
      </c>
      <c r="H93" s="5">
        <f t="shared" si="26"/>
        <v>693584</v>
      </c>
      <c r="I93" s="5" t="s">
        <v>434</v>
      </c>
      <c r="J93" s="6" t="s">
        <v>433</v>
      </c>
      <c r="K93" s="5">
        <v>693469</v>
      </c>
      <c r="L93" s="5" t="s">
        <v>280</v>
      </c>
      <c r="M93" s="5" t="s">
        <v>432</v>
      </c>
      <c r="N93" s="5">
        <v>693435</v>
      </c>
      <c r="O93" s="5">
        <v>693469</v>
      </c>
      <c r="P93" s="5" t="s">
        <v>435</v>
      </c>
      <c r="Q93" s="5" t="s">
        <v>144</v>
      </c>
      <c r="R93" s="5" t="s">
        <v>143</v>
      </c>
      <c r="S93" s="5" t="s">
        <v>143</v>
      </c>
      <c r="T93" s="5" t="s">
        <v>143</v>
      </c>
      <c r="U93" s="5" t="s">
        <v>143</v>
      </c>
      <c r="V93" s="5" t="s">
        <v>143</v>
      </c>
      <c r="W93" s="5" t="s">
        <v>143</v>
      </c>
      <c r="X93" s="5">
        <v>-1</v>
      </c>
    </row>
    <row r="94" spans="1:24" s="20" customFormat="1" ht="17" x14ac:dyDescent="0.2">
      <c r="A94" s="4" t="s">
        <v>43</v>
      </c>
      <c r="B94" s="5">
        <v>693469</v>
      </c>
      <c r="C94" s="5" t="s">
        <v>118</v>
      </c>
      <c r="D94" s="5">
        <f t="shared" ref="D94" si="115">IF(C94="fwd",1,-1)</f>
        <v>-1</v>
      </c>
      <c r="E94" s="5">
        <v>0</v>
      </c>
      <c r="F94" s="5">
        <f t="shared" ref="F94" si="116">B94+D94*E94</f>
        <v>693469</v>
      </c>
      <c r="G94" s="5">
        <f t="shared" si="114"/>
        <v>693425</v>
      </c>
      <c r="H94" s="5">
        <f t="shared" ref="H94" si="117">G94+159</f>
        <v>693584</v>
      </c>
      <c r="I94" s="5" t="s">
        <v>434</v>
      </c>
      <c r="J94" s="6" t="s">
        <v>433</v>
      </c>
      <c r="K94" s="5">
        <v>693469</v>
      </c>
      <c r="L94" s="5" t="s">
        <v>280</v>
      </c>
      <c r="M94" s="5" t="s">
        <v>432</v>
      </c>
      <c r="N94" s="5" t="s">
        <v>143</v>
      </c>
      <c r="O94" s="5" t="s">
        <v>143</v>
      </c>
      <c r="P94" s="5" t="s">
        <v>143</v>
      </c>
      <c r="Q94" s="5" t="s">
        <v>143</v>
      </c>
      <c r="R94" s="5">
        <v>693515</v>
      </c>
      <c r="S94" s="5">
        <f>R94+17</f>
        <v>693532</v>
      </c>
      <c r="T94" s="5">
        <f t="shared" si="45"/>
        <v>90</v>
      </c>
      <c r="U94" s="5">
        <f t="shared" si="46"/>
        <v>107</v>
      </c>
      <c r="V94" s="5" t="s">
        <v>436</v>
      </c>
      <c r="W94" s="5" t="s">
        <v>152</v>
      </c>
      <c r="X94" s="5">
        <v>1</v>
      </c>
    </row>
    <row r="95" spans="1:24" s="20" customFormat="1" ht="17" x14ac:dyDescent="0.2">
      <c r="A95" s="4" t="s">
        <v>54</v>
      </c>
      <c r="B95" s="5">
        <v>1848700</v>
      </c>
      <c r="C95" s="5" t="s">
        <v>118</v>
      </c>
      <c r="D95" s="5">
        <f t="shared" si="2"/>
        <v>-1</v>
      </c>
      <c r="E95" s="5">
        <v>0</v>
      </c>
      <c r="F95" s="5">
        <f t="shared" si="3"/>
        <v>1848700</v>
      </c>
      <c r="G95" s="5">
        <f t="shared" si="114"/>
        <v>1848656</v>
      </c>
      <c r="H95" s="5">
        <f t="shared" si="26"/>
        <v>1848815</v>
      </c>
      <c r="I95" s="5" t="s">
        <v>439</v>
      </c>
      <c r="J95" s="6" t="s">
        <v>438</v>
      </c>
      <c r="K95" s="5">
        <v>1848700</v>
      </c>
      <c r="L95" s="5"/>
      <c r="M95" s="5" t="s">
        <v>437</v>
      </c>
      <c r="N95" s="5">
        <v>1848676</v>
      </c>
      <c r="O95" s="5">
        <v>1848700</v>
      </c>
      <c r="P95" s="5" t="s">
        <v>440</v>
      </c>
      <c r="Q95" s="5" t="s">
        <v>144</v>
      </c>
      <c r="R95" s="5">
        <v>1848665</v>
      </c>
      <c r="S95" s="5">
        <f>R95+22</f>
        <v>1848687</v>
      </c>
      <c r="T95" s="5">
        <f t="shared" si="45"/>
        <v>9</v>
      </c>
      <c r="U95" s="5">
        <f t="shared" si="46"/>
        <v>31</v>
      </c>
      <c r="V95" s="5" t="s">
        <v>441</v>
      </c>
      <c r="W95" s="5" t="s">
        <v>144</v>
      </c>
      <c r="X95" s="5">
        <v>0</v>
      </c>
    </row>
    <row r="96" spans="1:24" s="20" customFormat="1" ht="17" x14ac:dyDescent="0.2">
      <c r="A96" s="4" t="s">
        <v>54</v>
      </c>
      <c r="B96" s="5">
        <v>1848700</v>
      </c>
      <c r="C96" s="5" t="s">
        <v>118</v>
      </c>
      <c r="D96" s="5">
        <f t="shared" ref="D96" si="118">IF(C96="fwd",1,-1)</f>
        <v>-1</v>
      </c>
      <c r="E96" s="5">
        <v>0</v>
      </c>
      <c r="F96" s="5">
        <f t="shared" ref="F96" si="119">B96+D96*E96</f>
        <v>1848700</v>
      </c>
      <c r="G96" s="5">
        <f t="shared" si="114"/>
        <v>1848656</v>
      </c>
      <c r="H96" s="5">
        <f t="shared" ref="H96" si="120">G96+159</f>
        <v>1848815</v>
      </c>
      <c r="I96" s="5" t="s">
        <v>439</v>
      </c>
      <c r="J96" s="6" t="s">
        <v>438</v>
      </c>
      <c r="K96" s="5">
        <v>1848700</v>
      </c>
      <c r="L96" s="5"/>
      <c r="M96" s="5" t="s">
        <v>437</v>
      </c>
      <c r="N96" s="5" t="s">
        <v>143</v>
      </c>
      <c r="O96" s="5" t="s">
        <v>143</v>
      </c>
      <c r="P96" s="5" t="s">
        <v>143</v>
      </c>
      <c r="Q96" s="5" t="s">
        <v>143</v>
      </c>
      <c r="R96" s="5">
        <v>1848740</v>
      </c>
      <c r="S96" s="5">
        <f>R96+29</f>
        <v>1848769</v>
      </c>
      <c r="T96" s="5">
        <f t="shared" ref="T96" si="121">R96-G96</f>
        <v>84</v>
      </c>
      <c r="U96" s="5">
        <f t="shared" ref="U96" si="122">S96-G96</f>
        <v>113</v>
      </c>
      <c r="V96" s="5" t="s">
        <v>442</v>
      </c>
      <c r="W96" s="5" t="s">
        <v>152</v>
      </c>
      <c r="X96" s="5">
        <v>1</v>
      </c>
    </row>
    <row r="97" spans="1:24" s="20" customFormat="1" ht="17" x14ac:dyDescent="0.2">
      <c r="A97" s="4" t="s">
        <v>33</v>
      </c>
      <c r="B97" s="5">
        <v>3096620</v>
      </c>
      <c r="C97" s="5" t="s">
        <v>108</v>
      </c>
      <c r="D97" s="5">
        <f t="shared" si="2"/>
        <v>1</v>
      </c>
      <c r="E97" s="5">
        <v>0</v>
      </c>
      <c r="F97" s="5">
        <f t="shared" si="3"/>
        <v>3096620</v>
      </c>
      <c r="G97" s="5">
        <v>3096506</v>
      </c>
      <c r="H97" s="5">
        <f t="shared" si="26"/>
        <v>3096665</v>
      </c>
      <c r="I97" s="5" t="s">
        <v>444</v>
      </c>
      <c r="J97" s="6" t="s">
        <v>443</v>
      </c>
      <c r="K97" s="5" t="s">
        <v>109</v>
      </c>
      <c r="L97" s="5" t="s">
        <v>143</v>
      </c>
      <c r="M97" s="5" t="s">
        <v>143</v>
      </c>
      <c r="N97" s="5" t="s">
        <v>143</v>
      </c>
      <c r="O97" s="5" t="s">
        <v>143</v>
      </c>
      <c r="P97" s="5" t="s">
        <v>143</v>
      </c>
      <c r="Q97" s="5" t="s">
        <v>143</v>
      </c>
      <c r="R97" s="5">
        <v>3096512</v>
      </c>
      <c r="S97" s="5">
        <f>R97+16</f>
        <v>3096528</v>
      </c>
      <c r="T97" s="5">
        <f t="shared" si="45"/>
        <v>6</v>
      </c>
      <c r="U97" s="5">
        <f t="shared" si="46"/>
        <v>22</v>
      </c>
      <c r="V97" s="5" t="s">
        <v>445</v>
      </c>
      <c r="W97" s="5" t="s">
        <v>152</v>
      </c>
      <c r="X97" s="5">
        <v>1</v>
      </c>
    </row>
    <row r="98" spans="1:24" s="20" customFormat="1" ht="17" x14ac:dyDescent="0.2">
      <c r="A98" s="4" t="s">
        <v>33</v>
      </c>
      <c r="B98" s="5">
        <v>3096620</v>
      </c>
      <c r="C98" s="5" t="s">
        <v>108</v>
      </c>
      <c r="D98" s="5">
        <f t="shared" ref="D98" si="123">IF(C98="fwd",1,-1)</f>
        <v>1</v>
      </c>
      <c r="E98" s="5">
        <v>0</v>
      </c>
      <c r="F98" s="5">
        <f t="shared" ref="F98" si="124">B98+D98*E98</f>
        <v>3096620</v>
      </c>
      <c r="G98" s="5">
        <v>3096506</v>
      </c>
      <c r="H98" s="5">
        <f t="shared" ref="H98" si="125">G98+159</f>
        <v>3096665</v>
      </c>
      <c r="I98" s="5" t="s">
        <v>444</v>
      </c>
      <c r="J98" s="6" t="s">
        <v>443</v>
      </c>
      <c r="K98" s="5" t="s">
        <v>109</v>
      </c>
      <c r="L98" s="5" t="s">
        <v>143</v>
      </c>
      <c r="M98" s="5" t="s">
        <v>143</v>
      </c>
      <c r="N98" s="5" t="s">
        <v>143</v>
      </c>
      <c r="O98" s="5" t="s">
        <v>143</v>
      </c>
      <c r="P98" s="5" t="s">
        <v>143</v>
      </c>
      <c r="Q98" s="5" t="s">
        <v>143</v>
      </c>
      <c r="R98" s="5">
        <f>S98-17</f>
        <v>3096605</v>
      </c>
      <c r="S98" s="5">
        <v>3096622</v>
      </c>
      <c r="T98" s="5">
        <f t="shared" ref="T98" si="126">R98-G98</f>
        <v>99</v>
      </c>
      <c r="U98" s="5">
        <f t="shared" ref="U98" si="127">S98-G98</f>
        <v>116</v>
      </c>
      <c r="V98" s="5" t="s">
        <v>446</v>
      </c>
      <c r="W98" s="5" t="s">
        <v>135</v>
      </c>
      <c r="X98" s="5">
        <v>1</v>
      </c>
    </row>
    <row r="99" spans="1:24" s="20" customFormat="1" ht="17" x14ac:dyDescent="0.2">
      <c r="A99" s="4" t="s">
        <v>5</v>
      </c>
      <c r="B99" s="5">
        <v>3403446</v>
      </c>
      <c r="C99" s="5" t="s">
        <v>108</v>
      </c>
      <c r="D99" s="5">
        <f t="shared" si="2"/>
        <v>1</v>
      </c>
      <c r="E99" s="5">
        <v>0</v>
      </c>
      <c r="F99" s="5">
        <f t="shared" si="3"/>
        <v>3403446</v>
      </c>
      <c r="G99" s="5">
        <v>3403332</v>
      </c>
      <c r="H99" s="5">
        <f t="shared" si="26"/>
        <v>3403491</v>
      </c>
      <c r="I99" s="5" t="s">
        <v>448</v>
      </c>
      <c r="J99" s="6" t="s">
        <v>447</v>
      </c>
      <c r="K99" s="5" t="s">
        <v>109</v>
      </c>
      <c r="L99" s="5" t="s">
        <v>143</v>
      </c>
      <c r="M99" s="5" t="s">
        <v>143</v>
      </c>
      <c r="N99" s="5">
        <v>3403425</v>
      </c>
      <c r="O99" s="5">
        <v>3403446</v>
      </c>
      <c r="P99" s="5" t="s">
        <v>449</v>
      </c>
      <c r="Q99" s="5" t="s">
        <v>165</v>
      </c>
      <c r="R99" s="5">
        <v>3403460</v>
      </c>
      <c r="S99" s="5">
        <f>R99+13</f>
        <v>3403473</v>
      </c>
      <c r="T99" s="5">
        <f t="shared" si="45"/>
        <v>128</v>
      </c>
      <c r="U99" s="5">
        <f t="shared" si="46"/>
        <v>141</v>
      </c>
      <c r="V99" s="5" t="s">
        <v>450</v>
      </c>
      <c r="W99" s="5" t="s">
        <v>144</v>
      </c>
      <c r="X99" s="5">
        <v>0</v>
      </c>
    </row>
    <row r="100" spans="1:24" s="20" customFormat="1" ht="17" x14ac:dyDescent="0.2">
      <c r="A100" s="4" t="s">
        <v>5</v>
      </c>
      <c r="B100" s="5">
        <v>3403446</v>
      </c>
      <c r="C100" s="5" t="s">
        <v>108</v>
      </c>
      <c r="D100" s="5">
        <f t="shared" ref="D100" si="128">IF(C100="fwd",1,-1)</f>
        <v>1</v>
      </c>
      <c r="E100" s="5">
        <v>0</v>
      </c>
      <c r="F100" s="5">
        <f t="shared" ref="F100" si="129">B100+D100*E100</f>
        <v>3403446</v>
      </c>
      <c r="G100" s="5">
        <v>3403332</v>
      </c>
      <c r="H100" s="5">
        <f t="shared" ref="H100" si="130">G100+159</f>
        <v>3403491</v>
      </c>
      <c r="I100" s="5" t="s">
        <v>448</v>
      </c>
      <c r="J100" s="6" t="s">
        <v>447</v>
      </c>
      <c r="K100" s="5" t="s">
        <v>109</v>
      </c>
      <c r="L100" s="5" t="s">
        <v>143</v>
      </c>
      <c r="M100" s="5" t="s">
        <v>143</v>
      </c>
      <c r="N100" s="5" t="s">
        <v>143</v>
      </c>
      <c r="O100" s="5" t="s">
        <v>143</v>
      </c>
      <c r="P100" s="5" t="s">
        <v>143</v>
      </c>
      <c r="Q100" s="5" t="s">
        <v>143</v>
      </c>
      <c r="R100" s="5">
        <f>S100-18</f>
        <v>3403352</v>
      </c>
      <c r="S100" s="5">
        <v>3403370</v>
      </c>
      <c r="T100" s="5">
        <f t="shared" ref="T100" si="131">R100-G100</f>
        <v>20</v>
      </c>
      <c r="U100" s="5">
        <f t="shared" ref="U100" si="132">S100-G100</f>
        <v>38</v>
      </c>
      <c r="V100" s="5" t="s">
        <v>451</v>
      </c>
      <c r="W100" s="5" t="s">
        <v>144</v>
      </c>
      <c r="X100" s="5">
        <v>0</v>
      </c>
    </row>
    <row r="101" spans="1:24" s="20" customFormat="1" ht="17" x14ac:dyDescent="0.2">
      <c r="A101" s="4" t="s">
        <v>69</v>
      </c>
      <c r="B101" s="5">
        <v>2214673</v>
      </c>
      <c r="C101" s="5" t="s">
        <v>118</v>
      </c>
      <c r="D101" s="5">
        <f t="shared" si="2"/>
        <v>-1</v>
      </c>
      <c r="E101" s="5">
        <v>0</v>
      </c>
      <c r="F101" s="5">
        <f t="shared" si="3"/>
        <v>2214673</v>
      </c>
      <c r="G101" s="5">
        <f>F101-44</f>
        <v>2214629</v>
      </c>
      <c r="H101" s="5">
        <f t="shared" si="26"/>
        <v>2214788</v>
      </c>
      <c r="I101" s="5" t="s">
        <v>453</v>
      </c>
      <c r="J101" s="6" t="s">
        <v>452</v>
      </c>
      <c r="K101" s="5" t="s">
        <v>109</v>
      </c>
      <c r="L101" s="5" t="s">
        <v>143</v>
      </c>
      <c r="M101" s="5" t="s">
        <v>143</v>
      </c>
      <c r="N101" s="5" t="s">
        <v>143</v>
      </c>
      <c r="O101" s="5" t="s">
        <v>143</v>
      </c>
      <c r="P101" s="5" t="s">
        <v>143</v>
      </c>
      <c r="Q101" s="5" t="s">
        <v>143</v>
      </c>
      <c r="R101" s="5">
        <v>2214749</v>
      </c>
      <c r="S101" s="5">
        <f>R101+10</f>
        <v>2214759</v>
      </c>
      <c r="T101" s="5">
        <f t="shared" si="45"/>
        <v>120</v>
      </c>
      <c r="U101" s="5">
        <f t="shared" si="46"/>
        <v>130</v>
      </c>
      <c r="V101" s="5" t="s">
        <v>454</v>
      </c>
      <c r="W101" s="5" t="s">
        <v>135</v>
      </c>
      <c r="X101" s="5">
        <v>1</v>
      </c>
    </row>
    <row r="102" spans="1:24" s="20" customFormat="1" ht="17" x14ac:dyDescent="0.2">
      <c r="A102" s="4" t="s">
        <v>29</v>
      </c>
      <c r="B102" s="5">
        <v>2212969</v>
      </c>
      <c r="C102" s="5" t="s">
        <v>118</v>
      </c>
      <c r="D102" s="5">
        <f t="shared" si="2"/>
        <v>-1</v>
      </c>
      <c r="E102" s="5">
        <v>0</v>
      </c>
      <c r="F102" s="5">
        <f t="shared" si="3"/>
        <v>2212969</v>
      </c>
      <c r="G102" s="5">
        <f>F102-44</f>
        <v>2212925</v>
      </c>
      <c r="H102" s="5">
        <f t="shared" si="26"/>
        <v>2213084</v>
      </c>
      <c r="I102" s="5" t="s">
        <v>456</v>
      </c>
      <c r="J102" s="6" t="s">
        <v>455</v>
      </c>
      <c r="K102" s="5" t="s">
        <v>109</v>
      </c>
      <c r="L102" s="5" t="s">
        <v>143</v>
      </c>
      <c r="M102" s="5" t="s">
        <v>143</v>
      </c>
      <c r="N102" s="5" t="s">
        <v>143</v>
      </c>
      <c r="O102" s="5" t="s">
        <v>143</v>
      </c>
      <c r="P102" s="5" t="s">
        <v>143</v>
      </c>
      <c r="Q102" s="5" t="s">
        <v>143</v>
      </c>
      <c r="R102" s="5" t="s">
        <v>143</v>
      </c>
      <c r="S102" s="5" t="s">
        <v>143</v>
      </c>
      <c r="T102" s="5" t="s">
        <v>143</v>
      </c>
      <c r="U102" s="5" t="s">
        <v>143</v>
      </c>
      <c r="V102" s="5" t="s">
        <v>143</v>
      </c>
      <c r="W102" s="5" t="s">
        <v>143</v>
      </c>
      <c r="X102" s="5">
        <v>0</v>
      </c>
    </row>
    <row r="103" spans="1:24" s="20" customFormat="1" ht="17" x14ac:dyDescent="0.2">
      <c r="A103" s="4" t="s">
        <v>53</v>
      </c>
      <c r="B103" s="5">
        <v>845736</v>
      </c>
      <c r="C103" s="5" t="s">
        <v>118</v>
      </c>
      <c r="D103" s="5">
        <f t="shared" si="2"/>
        <v>-1</v>
      </c>
      <c r="E103" s="5">
        <v>0</v>
      </c>
      <c r="F103" s="5">
        <f t="shared" si="3"/>
        <v>845736</v>
      </c>
      <c r="G103" s="5">
        <f>F103-44</f>
        <v>845692</v>
      </c>
      <c r="H103" s="5">
        <f t="shared" si="26"/>
        <v>845851</v>
      </c>
      <c r="I103" s="5" t="s">
        <v>460</v>
      </c>
      <c r="J103" s="6" t="s">
        <v>461</v>
      </c>
      <c r="K103" s="5" t="s">
        <v>457</v>
      </c>
      <c r="L103" s="5" t="s">
        <v>458</v>
      </c>
      <c r="M103" s="5" t="s">
        <v>459</v>
      </c>
      <c r="N103" s="5" t="s">
        <v>143</v>
      </c>
      <c r="O103" s="5" t="s">
        <v>143</v>
      </c>
      <c r="P103" s="5" t="s">
        <v>143</v>
      </c>
      <c r="Q103" s="5" t="s">
        <v>143</v>
      </c>
      <c r="R103" s="5">
        <v>845696</v>
      </c>
      <c r="S103" s="5">
        <f>R103+10</f>
        <v>845706</v>
      </c>
      <c r="T103" s="5">
        <f t="shared" si="45"/>
        <v>4</v>
      </c>
      <c r="U103" s="5">
        <f t="shared" si="46"/>
        <v>14</v>
      </c>
      <c r="V103" s="5" t="s">
        <v>462</v>
      </c>
      <c r="W103" s="5" t="s">
        <v>152</v>
      </c>
      <c r="X103" s="5">
        <v>1</v>
      </c>
    </row>
    <row r="104" spans="1:24" s="20" customFormat="1" ht="17" x14ac:dyDescent="0.2">
      <c r="A104" s="4" t="s">
        <v>18</v>
      </c>
      <c r="B104" s="5">
        <v>3438001</v>
      </c>
      <c r="C104" s="5" t="s">
        <v>108</v>
      </c>
      <c r="D104" s="5">
        <f t="shared" si="2"/>
        <v>1</v>
      </c>
      <c r="E104" s="5">
        <v>0</v>
      </c>
      <c r="F104" s="5">
        <f t="shared" si="3"/>
        <v>3438001</v>
      </c>
      <c r="G104" s="5">
        <v>3437887</v>
      </c>
      <c r="H104" s="5">
        <f t="shared" si="26"/>
        <v>3438046</v>
      </c>
      <c r="I104" s="5" t="s">
        <v>465</v>
      </c>
      <c r="J104" s="6" t="s">
        <v>464</v>
      </c>
      <c r="K104" s="5">
        <v>3438001</v>
      </c>
      <c r="L104" s="5"/>
      <c r="M104" s="5" t="s">
        <v>463</v>
      </c>
      <c r="N104" s="5">
        <v>3437979</v>
      </c>
      <c r="O104" s="5">
        <v>3438011</v>
      </c>
      <c r="P104" s="5" t="s">
        <v>466</v>
      </c>
      <c r="Q104" s="5" t="s">
        <v>144</v>
      </c>
      <c r="R104" s="5">
        <v>3437960</v>
      </c>
      <c r="S104" s="5">
        <f>R104+60</f>
        <v>3438020</v>
      </c>
      <c r="T104" s="5">
        <f t="shared" si="45"/>
        <v>73</v>
      </c>
      <c r="U104" s="5">
        <f t="shared" si="46"/>
        <v>133</v>
      </c>
      <c r="V104" s="5" t="s">
        <v>467</v>
      </c>
      <c r="W104" s="5" t="s">
        <v>144</v>
      </c>
      <c r="X104" s="5">
        <v>0</v>
      </c>
    </row>
    <row r="105" spans="1:24" s="20" customFormat="1" ht="17" x14ac:dyDescent="0.2">
      <c r="A105" s="4" t="s">
        <v>18</v>
      </c>
      <c r="B105" s="5">
        <v>3438001</v>
      </c>
      <c r="C105" s="5" t="s">
        <v>108</v>
      </c>
      <c r="D105" s="5">
        <f t="shared" ref="D105" si="133">IF(C105="fwd",1,-1)</f>
        <v>1</v>
      </c>
      <c r="E105" s="5">
        <v>0</v>
      </c>
      <c r="F105" s="5">
        <f t="shared" ref="F105" si="134">B105+D105*E105</f>
        <v>3438001</v>
      </c>
      <c r="G105" s="5">
        <v>3437887</v>
      </c>
      <c r="H105" s="5">
        <f t="shared" ref="H105" si="135">G105+159</f>
        <v>3438046</v>
      </c>
      <c r="I105" s="5" t="s">
        <v>465</v>
      </c>
      <c r="J105" s="6" t="s">
        <v>464</v>
      </c>
      <c r="K105" s="5">
        <v>3438001</v>
      </c>
      <c r="L105" s="5"/>
      <c r="M105" s="5" t="s">
        <v>463</v>
      </c>
      <c r="N105" s="5">
        <v>3437980</v>
      </c>
      <c r="O105" s="5">
        <v>3437996</v>
      </c>
      <c r="P105" s="5" t="s">
        <v>468</v>
      </c>
      <c r="Q105" s="5" t="s">
        <v>152</v>
      </c>
      <c r="R105" s="5">
        <v>3437980</v>
      </c>
      <c r="S105" s="5">
        <f>R105+20</f>
        <v>3438000</v>
      </c>
      <c r="T105" s="5">
        <f t="shared" ref="T105" si="136">R105-G105</f>
        <v>93</v>
      </c>
      <c r="U105" s="5">
        <f t="shared" ref="U105" si="137">S105-G105</f>
        <v>113</v>
      </c>
      <c r="V105" s="5" t="s">
        <v>469</v>
      </c>
      <c r="W105" s="5" t="s">
        <v>152</v>
      </c>
      <c r="X105" s="5">
        <v>0</v>
      </c>
    </row>
    <row r="106" spans="1:24" s="20" customFormat="1" ht="17" x14ac:dyDescent="0.2">
      <c r="A106" s="4" t="s">
        <v>36</v>
      </c>
      <c r="B106" s="5">
        <v>4118427</v>
      </c>
      <c r="C106" s="5" t="s">
        <v>108</v>
      </c>
      <c r="D106" s="5">
        <f t="shared" si="2"/>
        <v>1</v>
      </c>
      <c r="E106" s="5">
        <v>0</v>
      </c>
      <c r="F106" s="5">
        <f t="shared" si="3"/>
        <v>4118427</v>
      </c>
      <c r="G106" s="5">
        <v>4118313</v>
      </c>
      <c r="H106" s="5">
        <f t="shared" si="26"/>
        <v>4118472</v>
      </c>
      <c r="I106" s="5" t="s">
        <v>473</v>
      </c>
      <c r="J106" s="6" t="s">
        <v>472</v>
      </c>
      <c r="K106" s="7">
        <v>4118386</v>
      </c>
      <c r="L106" s="7" t="s">
        <v>470</v>
      </c>
      <c r="M106" s="7" t="s">
        <v>471</v>
      </c>
      <c r="N106" s="5">
        <v>4118365</v>
      </c>
      <c r="O106" s="5">
        <v>4118386</v>
      </c>
      <c r="P106" s="5" t="s">
        <v>474</v>
      </c>
      <c r="Q106" s="5" t="s">
        <v>144</v>
      </c>
      <c r="R106" s="5">
        <v>4118325</v>
      </c>
      <c r="S106" s="5">
        <f>R106+35</f>
        <v>4118360</v>
      </c>
      <c r="T106" s="5">
        <f t="shared" si="45"/>
        <v>12</v>
      </c>
      <c r="U106" s="5">
        <f t="shared" si="46"/>
        <v>47</v>
      </c>
      <c r="V106" s="5" t="s">
        <v>475</v>
      </c>
      <c r="W106" s="5" t="s">
        <v>144</v>
      </c>
      <c r="X106" s="5">
        <v>0</v>
      </c>
    </row>
    <row r="107" spans="1:24" s="20" customFormat="1" ht="17" x14ac:dyDescent="0.2">
      <c r="A107" s="4" t="s">
        <v>119</v>
      </c>
      <c r="B107" s="5">
        <v>3808516</v>
      </c>
      <c r="C107" s="5" t="s">
        <v>108</v>
      </c>
      <c r="D107" s="5">
        <f t="shared" si="2"/>
        <v>1</v>
      </c>
      <c r="E107" s="5">
        <v>0</v>
      </c>
      <c r="F107" s="5">
        <f t="shared" si="3"/>
        <v>3808516</v>
      </c>
      <c r="G107" s="5">
        <v>3808402</v>
      </c>
      <c r="H107" s="5">
        <f t="shared" si="26"/>
        <v>3808561</v>
      </c>
      <c r="I107" s="5" t="s">
        <v>478</v>
      </c>
      <c r="J107" s="21" t="s">
        <v>476</v>
      </c>
      <c r="K107" s="5">
        <v>3808516</v>
      </c>
      <c r="L107" s="5" t="s">
        <v>175</v>
      </c>
      <c r="M107" s="5" t="s">
        <v>477</v>
      </c>
      <c r="N107" s="5">
        <f>O107-25</f>
        <v>3808491</v>
      </c>
      <c r="O107" s="5">
        <v>3808516</v>
      </c>
      <c r="P107" s="5" t="s">
        <v>479</v>
      </c>
      <c r="Q107" s="5" t="s">
        <v>144</v>
      </c>
      <c r="R107" s="5">
        <f>S107-26</f>
        <v>3808464</v>
      </c>
      <c r="S107" s="5">
        <v>3808490</v>
      </c>
      <c r="T107" s="5">
        <f t="shared" si="45"/>
        <v>62</v>
      </c>
      <c r="U107" s="5">
        <f t="shared" si="46"/>
        <v>88</v>
      </c>
      <c r="V107" s="5" t="s">
        <v>480</v>
      </c>
      <c r="W107" s="5" t="s">
        <v>144</v>
      </c>
      <c r="X107" s="5">
        <v>0</v>
      </c>
    </row>
    <row r="108" spans="1:24" s="20" customFormat="1" ht="17" x14ac:dyDescent="0.2">
      <c r="A108" s="4" t="s">
        <v>119</v>
      </c>
      <c r="B108" s="5">
        <v>3808516</v>
      </c>
      <c r="C108" s="5" t="s">
        <v>108</v>
      </c>
      <c r="D108" s="5">
        <f t="shared" ref="D108" si="138">IF(C108="fwd",1,-1)</f>
        <v>1</v>
      </c>
      <c r="E108" s="5">
        <v>0</v>
      </c>
      <c r="F108" s="5">
        <f t="shared" ref="F108" si="139">B108+D108*E108</f>
        <v>3808516</v>
      </c>
      <c r="G108" s="5">
        <v>3808402</v>
      </c>
      <c r="H108" s="5">
        <f t="shared" ref="H108" si="140">G108+159</f>
        <v>3808561</v>
      </c>
      <c r="I108" s="5" t="s">
        <v>478</v>
      </c>
      <c r="J108" s="21" t="s">
        <v>476</v>
      </c>
      <c r="K108" s="5">
        <v>3808516</v>
      </c>
      <c r="L108" s="5" t="s">
        <v>175</v>
      </c>
      <c r="M108" s="5" t="s">
        <v>477</v>
      </c>
      <c r="N108" s="5">
        <v>3808394</v>
      </c>
      <c r="O108" s="5">
        <v>3808432</v>
      </c>
      <c r="P108" s="5" t="s">
        <v>483</v>
      </c>
      <c r="Q108" s="5" t="s">
        <v>135</v>
      </c>
      <c r="R108" s="5">
        <v>3808402</v>
      </c>
      <c r="S108" s="5">
        <f>R108+23</f>
        <v>3808425</v>
      </c>
      <c r="T108" s="5">
        <f t="shared" ref="T108" si="141">R108-G108</f>
        <v>0</v>
      </c>
      <c r="U108" s="5">
        <f t="shared" ref="U108" si="142">S108-G108</f>
        <v>23</v>
      </c>
      <c r="V108" s="5" t="s">
        <v>481</v>
      </c>
      <c r="W108" s="5" t="s">
        <v>135</v>
      </c>
      <c r="X108" s="5">
        <v>0</v>
      </c>
    </row>
    <row r="109" spans="1:24" s="20" customFormat="1" ht="17" x14ac:dyDescent="0.2">
      <c r="A109" s="4" t="s">
        <v>119</v>
      </c>
      <c r="B109" s="5">
        <v>3808516</v>
      </c>
      <c r="C109" s="5" t="s">
        <v>108</v>
      </c>
      <c r="D109" s="5">
        <f t="shared" ref="D109" si="143">IF(C109="fwd",1,-1)</f>
        <v>1</v>
      </c>
      <c r="E109" s="5">
        <v>0</v>
      </c>
      <c r="F109" s="5">
        <f t="shared" ref="F109" si="144">B109+D109*E109</f>
        <v>3808516</v>
      </c>
      <c r="G109" s="5">
        <v>3808402</v>
      </c>
      <c r="H109" s="5">
        <f t="shared" ref="H109" si="145">G109+159</f>
        <v>3808561</v>
      </c>
      <c r="I109" s="5" t="s">
        <v>478</v>
      </c>
      <c r="J109" s="21" t="s">
        <v>476</v>
      </c>
      <c r="K109" s="5">
        <v>3808516</v>
      </c>
      <c r="L109" s="5" t="s">
        <v>175</v>
      </c>
      <c r="M109" s="5" t="s">
        <v>477</v>
      </c>
      <c r="N109" s="5" t="s">
        <v>143</v>
      </c>
      <c r="O109" s="5" t="s">
        <v>143</v>
      </c>
      <c r="P109" s="5" t="s">
        <v>143</v>
      </c>
      <c r="Q109" s="5" t="s">
        <v>143</v>
      </c>
      <c r="R109" s="5">
        <f>S109-26</f>
        <v>3808535</v>
      </c>
      <c r="S109" s="5">
        <v>3808561</v>
      </c>
      <c r="T109" s="5">
        <f t="shared" ref="T109" si="146">R109-G109</f>
        <v>133</v>
      </c>
      <c r="U109" s="5">
        <f t="shared" ref="U109" si="147">S109-G109</f>
        <v>159</v>
      </c>
      <c r="V109" s="5" t="s">
        <v>482</v>
      </c>
      <c r="W109" s="5" t="s">
        <v>152</v>
      </c>
      <c r="X109" s="5">
        <v>1</v>
      </c>
    </row>
    <row r="110" spans="1:24" s="20" customFormat="1" x14ac:dyDescent="0.2">
      <c r="A110" s="4" t="s">
        <v>40</v>
      </c>
      <c r="B110" s="5">
        <v>4175107</v>
      </c>
      <c r="C110" s="5" t="s">
        <v>118</v>
      </c>
      <c r="D110" s="5">
        <f t="shared" si="2"/>
        <v>-1</v>
      </c>
      <c r="E110" s="5">
        <v>0</v>
      </c>
      <c r="F110" s="5">
        <f t="shared" ref="F110" si="148">B110+D110*E110</f>
        <v>4175107</v>
      </c>
      <c r="G110" s="5">
        <v>4175063</v>
      </c>
      <c r="H110" s="5">
        <f>G110+160-1</f>
        <v>4175222</v>
      </c>
      <c r="I110" s="5" t="s">
        <v>158</v>
      </c>
      <c r="J110" s="5" t="s">
        <v>162</v>
      </c>
      <c r="K110" s="5">
        <v>4175107</v>
      </c>
      <c r="L110" s="5" t="s">
        <v>109</v>
      </c>
      <c r="M110" s="5" t="s">
        <v>163</v>
      </c>
      <c r="N110" s="5" t="s">
        <v>109</v>
      </c>
      <c r="O110" s="5" t="s">
        <v>109</v>
      </c>
      <c r="P110" s="5" t="s">
        <v>143</v>
      </c>
      <c r="Q110" s="5" t="s">
        <v>143</v>
      </c>
      <c r="R110" s="5">
        <v>4175143</v>
      </c>
      <c r="S110" s="5">
        <f>4175175</f>
        <v>4175175</v>
      </c>
      <c r="T110" s="5">
        <f t="shared" si="45"/>
        <v>80</v>
      </c>
      <c r="U110" s="5">
        <f t="shared" si="46"/>
        <v>112</v>
      </c>
      <c r="V110" s="5" t="s">
        <v>167</v>
      </c>
      <c r="W110" s="5" t="s">
        <v>152</v>
      </c>
      <c r="X110" s="5">
        <v>1</v>
      </c>
    </row>
    <row r="111" spans="1:24" s="20" customFormat="1" x14ac:dyDescent="0.2">
      <c r="A111" s="4" t="s">
        <v>40</v>
      </c>
      <c r="B111" s="5">
        <v>4175107</v>
      </c>
      <c r="C111" s="5" t="s">
        <v>118</v>
      </c>
      <c r="D111" s="5">
        <f t="shared" si="2"/>
        <v>-1</v>
      </c>
      <c r="E111" s="5">
        <v>0</v>
      </c>
      <c r="F111" s="5">
        <f t="shared" si="3"/>
        <v>4175107</v>
      </c>
      <c r="G111" s="5">
        <v>4175063</v>
      </c>
      <c r="H111" s="5">
        <f>G111+160-1</f>
        <v>4175222</v>
      </c>
      <c r="I111" s="5" t="s">
        <v>158</v>
      </c>
      <c r="J111" s="5" t="s">
        <v>162</v>
      </c>
      <c r="K111" s="5">
        <v>4175107</v>
      </c>
      <c r="L111" s="5" t="s">
        <v>109</v>
      </c>
      <c r="M111" s="5" t="s">
        <v>163</v>
      </c>
      <c r="N111" s="5">
        <f>O111-20</f>
        <v>4175087</v>
      </c>
      <c r="O111" s="5">
        <v>4175107</v>
      </c>
      <c r="P111" s="5" t="s">
        <v>164</v>
      </c>
      <c r="Q111" s="5" t="s">
        <v>165</v>
      </c>
      <c r="R111" s="5">
        <v>4175105</v>
      </c>
      <c r="S111" s="5">
        <f>R111+84</f>
        <v>4175189</v>
      </c>
      <c r="T111" s="5">
        <f t="shared" ref="T111:T133" si="149">R111-G111</f>
        <v>42</v>
      </c>
      <c r="U111" s="5">
        <f t="shared" ref="U111:U133" si="150">S111-G111</f>
        <v>126</v>
      </c>
      <c r="V111" s="5" t="s">
        <v>166</v>
      </c>
      <c r="W111" s="5" t="s">
        <v>144</v>
      </c>
      <c r="X111" s="5">
        <v>0</v>
      </c>
    </row>
    <row r="112" spans="1:24" s="20" customFormat="1" ht="17" x14ac:dyDescent="0.2">
      <c r="A112" s="4" t="s">
        <v>72</v>
      </c>
      <c r="B112" s="5">
        <v>4621716</v>
      </c>
      <c r="C112" s="5" t="s">
        <v>108</v>
      </c>
      <c r="D112" s="5">
        <f t="shared" si="2"/>
        <v>1</v>
      </c>
      <c r="E112" s="5">
        <v>0</v>
      </c>
      <c r="F112" s="5">
        <f t="shared" si="3"/>
        <v>4621716</v>
      </c>
      <c r="G112" s="5">
        <v>4621602</v>
      </c>
      <c r="H112" s="5">
        <f>G112+159</f>
        <v>4621761</v>
      </c>
      <c r="I112" s="5" t="s">
        <v>486</v>
      </c>
      <c r="J112" s="6" t="s">
        <v>484</v>
      </c>
      <c r="K112" s="5">
        <v>4621657</v>
      </c>
      <c r="L112" s="5" t="s">
        <v>175</v>
      </c>
      <c r="M112" s="5" t="s">
        <v>488</v>
      </c>
      <c r="N112" s="5">
        <v>4621630</v>
      </c>
      <c r="O112" s="5">
        <v>4621657</v>
      </c>
      <c r="P112" s="5" t="s">
        <v>487</v>
      </c>
      <c r="Q112" s="5" t="s">
        <v>165</v>
      </c>
      <c r="R112" s="5">
        <v>4621628</v>
      </c>
      <c r="S112" s="5">
        <f>R112+30</f>
        <v>4621658</v>
      </c>
      <c r="T112" s="5">
        <f t="shared" si="149"/>
        <v>26</v>
      </c>
      <c r="U112" s="5">
        <f t="shared" si="150"/>
        <v>56</v>
      </c>
      <c r="V112" s="5" t="s">
        <v>490</v>
      </c>
      <c r="W112" s="5" t="s">
        <v>144</v>
      </c>
      <c r="X112" s="5">
        <v>0</v>
      </c>
    </row>
    <row r="113" spans="1:24" s="20" customFormat="1" ht="17" x14ac:dyDescent="0.2">
      <c r="A113" s="4" t="s">
        <v>72</v>
      </c>
      <c r="B113" s="5">
        <v>4621716</v>
      </c>
      <c r="C113" s="5" t="s">
        <v>108</v>
      </c>
      <c r="D113" s="5">
        <f t="shared" ref="D113" si="151">IF(C113="fwd",1,-1)</f>
        <v>1</v>
      </c>
      <c r="E113" s="5">
        <v>0</v>
      </c>
      <c r="F113" s="5">
        <f t="shared" ref="F113" si="152">B113+D113*E113</f>
        <v>4621716</v>
      </c>
      <c r="G113" s="5">
        <v>4621602</v>
      </c>
      <c r="H113" s="5">
        <f>G113+159</f>
        <v>4621761</v>
      </c>
      <c r="I113" s="5" t="s">
        <v>486</v>
      </c>
      <c r="J113" s="6" t="s">
        <v>484</v>
      </c>
      <c r="K113" s="5">
        <v>4621716</v>
      </c>
      <c r="L113" s="5" t="s">
        <v>175</v>
      </c>
      <c r="M113" s="5" t="s">
        <v>485</v>
      </c>
      <c r="N113" s="5">
        <v>4621695</v>
      </c>
      <c r="O113" s="5">
        <v>4621716</v>
      </c>
      <c r="P113" s="5" t="s">
        <v>489</v>
      </c>
      <c r="Q113" s="5" t="s">
        <v>165</v>
      </c>
      <c r="R113" s="5" t="s">
        <v>143</v>
      </c>
      <c r="S113" s="5" t="s">
        <v>143</v>
      </c>
      <c r="T113" s="5" t="s">
        <v>143</v>
      </c>
      <c r="U113" s="5" t="s">
        <v>143</v>
      </c>
      <c r="V113" s="5" t="s">
        <v>143</v>
      </c>
      <c r="W113" s="5" t="s">
        <v>143</v>
      </c>
      <c r="X113" s="5">
        <v>-1</v>
      </c>
    </row>
    <row r="114" spans="1:24" s="20" customFormat="1" ht="17" x14ac:dyDescent="0.2">
      <c r="A114" s="4" t="s">
        <v>72</v>
      </c>
      <c r="B114" s="5">
        <v>4621716</v>
      </c>
      <c r="C114" s="5" t="s">
        <v>108</v>
      </c>
      <c r="D114" s="5">
        <f t="shared" ref="D114" si="153">IF(C114="fwd",1,-1)</f>
        <v>1</v>
      </c>
      <c r="E114" s="5">
        <v>0</v>
      </c>
      <c r="F114" s="5">
        <f t="shared" ref="F114" si="154">B114+D114*E114</f>
        <v>4621716</v>
      </c>
      <c r="G114" s="5">
        <v>4621602</v>
      </c>
      <c r="H114" s="5">
        <f>G114+159</f>
        <v>4621761</v>
      </c>
      <c r="I114" s="5" t="s">
        <v>486</v>
      </c>
      <c r="J114" s="6" t="s">
        <v>484</v>
      </c>
      <c r="K114" s="5">
        <v>4621716</v>
      </c>
      <c r="L114" s="5" t="s">
        <v>175</v>
      </c>
      <c r="M114" s="5" t="s">
        <v>485</v>
      </c>
      <c r="N114" s="5" t="s">
        <v>143</v>
      </c>
      <c r="O114" s="5" t="s">
        <v>143</v>
      </c>
      <c r="P114" s="5" t="s">
        <v>143</v>
      </c>
      <c r="Q114" s="5" t="s">
        <v>143</v>
      </c>
      <c r="R114" s="5">
        <v>4621658</v>
      </c>
      <c r="S114" s="5">
        <f>R114+17</f>
        <v>4621675</v>
      </c>
      <c r="T114" s="5">
        <f t="shared" si="149"/>
        <v>56</v>
      </c>
      <c r="U114" s="5">
        <f t="shared" si="150"/>
        <v>73</v>
      </c>
      <c r="V114" s="5" t="s">
        <v>491</v>
      </c>
      <c r="W114" s="5" t="s">
        <v>152</v>
      </c>
      <c r="X114" s="5">
        <v>1</v>
      </c>
    </row>
    <row r="115" spans="1:24" s="23" customFormat="1" ht="17" x14ac:dyDescent="0.2">
      <c r="A115" s="10" t="s">
        <v>62</v>
      </c>
      <c r="B115" s="9">
        <v>4370616</v>
      </c>
      <c r="C115" s="9" t="s">
        <v>108</v>
      </c>
      <c r="D115" s="9">
        <f t="shared" ref="D115:D168" si="155">IF(C115="fwd",1,-1)</f>
        <v>1</v>
      </c>
      <c r="E115" s="9">
        <v>0</v>
      </c>
      <c r="F115" s="9">
        <f t="shared" ref="F115:F168" si="156">B115+D115*E115</f>
        <v>4370616</v>
      </c>
      <c r="G115" s="9">
        <v>4370502</v>
      </c>
      <c r="H115" s="9">
        <f t="shared" ref="H115:H133" si="157">G115+159</f>
        <v>4370661</v>
      </c>
      <c r="I115" s="9" t="s">
        <v>494</v>
      </c>
      <c r="J115" s="22" t="s">
        <v>492</v>
      </c>
      <c r="K115" s="23">
        <v>4370616</v>
      </c>
      <c r="L115" s="23" t="s">
        <v>175</v>
      </c>
      <c r="M115" s="23" t="s">
        <v>493</v>
      </c>
      <c r="N115" s="9">
        <v>4370588</v>
      </c>
      <c r="O115" s="9">
        <v>4370616</v>
      </c>
      <c r="P115" s="9" t="s">
        <v>495</v>
      </c>
      <c r="Q115" s="9" t="s">
        <v>368</v>
      </c>
      <c r="R115" s="9">
        <v>4370550</v>
      </c>
      <c r="S115" s="9">
        <f>R115+13</f>
        <v>4370563</v>
      </c>
      <c r="T115" s="9">
        <f t="shared" si="149"/>
        <v>48</v>
      </c>
      <c r="U115" s="9">
        <f t="shared" si="150"/>
        <v>61</v>
      </c>
      <c r="V115" s="9" t="s">
        <v>496</v>
      </c>
      <c r="W115" s="9" t="s">
        <v>144</v>
      </c>
      <c r="X115" s="9">
        <v>0</v>
      </c>
    </row>
    <row r="116" spans="1:24" s="25" customFormat="1" ht="17" x14ac:dyDescent="0.2">
      <c r="A116" s="13" t="s">
        <v>64</v>
      </c>
      <c r="B116" s="14">
        <v>148</v>
      </c>
      <c r="C116" s="14" t="s">
        <v>108</v>
      </c>
      <c r="D116" s="14">
        <f t="shared" si="155"/>
        <v>1</v>
      </c>
      <c r="E116" s="14">
        <v>0</v>
      </c>
      <c r="F116" s="14">
        <f t="shared" si="156"/>
        <v>148</v>
      </c>
      <c r="G116" s="14">
        <v>34</v>
      </c>
      <c r="H116" s="14">
        <f t="shared" si="157"/>
        <v>193</v>
      </c>
      <c r="I116" s="14" t="s">
        <v>499</v>
      </c>
      <c r="J116" s="24" t="s">
        <v>497</v>
      </c>
      <c r="K116" s="25">
        <v>148</v>
      </c>
      <c r="L116" s="25" t="s">
        <v>175</v>
      </c>
      <c r="M116" s="25" t="s">
        <v>498</v>
      </c>
      <c r="N116" s="14">
        <v>113</v>
      </c>
      <c r="O116" s="14">
        <v>148</v>
      </c>
      <c r="P116" s="14" t="s">
        <v>500</v>
      </c>
      <c r="Q116" s="14" t="s">
        <v>144</v>
      </c>
      <c r="R116" s="14">
        <v>112</v>
      </c>
      <c r="S116" s="14">
        <v>142</v>
      </c>
      <c r="T116" s="14">
        <f t="shared" si="149"/>
        <v>78</v>
      </c>
      <c r="U116" s="14">
        <f t="shared" si="150"/>
        <v>108</v>
      </c>
      <c r="V116" s="14" t="s">
        <v>501</v>
      </c>
      <c r="W116" s="14" t="s">
        <v>144</v>
      </c>
      <c r="X116" s="14">
        <v>0</v>
      </c>
    </row>
    <row r="117" spans="1:24" s="25" customFormat="1" ht="17" x14ac:dyDescent="0.2">
      <c r="A117" s="13" t="s">
        <v>64</v>
      </c>
      <c r="B117" s="14">
        <v>148</v>
      </c>
      <c r="C117" s="14" t="s">
        <v>108</v>
      </c>
      <c r="D117" s="14">
        <f t="shared" ref="D117" si="158">IF(C117="fwd",1,-1)</f>
        <v>1</v>
      </c>
      <c r="E117" s="14">
        <v>0</v>
      </c>
      <c r="F117" s="14">
        <f t="shared" ref="F117" si="159">B117+D117*E117</f>
        <v>148</v>
      </c>
      <c r="G117" s="14">
        <v>34</v>
      </c>
      <c r="H117" s="14">
        <f t="shared" si="157"/>
        <v>193</v>
      </c>
      <c r="I117" s="14" t="s">
        <v>499</v>
      </c>
      <c r="J117" s="24" t="s">
        <v>497</v>
      </c>
      <c r="K117" s="25">
        <v>148</v>
      </c>
      <c r="L117" s="25" t="s">
        <v>175</v>
      </c>
      <c r="M117" s="25" t="s">
        <v>498</v>
      </c>
      <c r="N117" s="14">
        <v>98</v>
      </c>
      <c r="O117" s="14">
        <v>112</v>
      </c>
      <c r="P117" s="14" t="s">
        <v>505</v>
      </c>
      <c r="Q117" s="14" t="s">
        <v>135</v>
      </c>
      <c r="R117" s="14">
        <v>60</v>
      </c>
      <c r="S117" s="14">
        <v>100</v>
      </c>
      <c r="T117" s="14">
        <f t="shared" ref="T117" si="160">R117-G117</f>
        <v>26</v>
      </c>
      <c r="U117" s="14">
        <f t="shared" ref="U117" si="161">S117-G117</f>
        <v>66</v>
      </c>
      <c r="V117" s="14" t="s">
        <v>502</v>
      </c>
      <c r="W117" s="14" t="s">
        <v>135</v>
      </c>
      <c r="X117" s="14">
        <v>0</v>
      </c>
    </row>
    <row r="118" spans="1:24" s="25" customFormat="1" ht="17" x14ac:dyDescent="0.2">
      <c r="A118" s="13" t="s">
        <v>64</v>
      </c>
      <c r="B118" s="14">
        <v>148</v>
      </c>
      <c r="C118" s="14" t="s">
        <v>108</v>
      </c>
      <c r="D118" s="14">
        <f t="shared" ref="D118" si="162">IF(C118="fwd",1,-1)</f>
        <v>1</v>
      </c>
      <c r="E118" s="14">
        <v>0</v>
      </c>
      <c r="F118" s="14">
        <f t="shared" ref="F118" si="163">B118+D118*E118</f>
        <v>148</v>
      </c>
      <c r="G118" s="14">
        <v>34</v>
      </c>
      <c r="H118" s="14">
        <f t="shared" si="157"/>
        <v>193</v>
      </c>
      <c r="I118" s="14" t="s">
        <v>499</v>
      </c>
      <c r="J118" s="24" t="s">
        <v>497</v>
      </c>
      <c r="K118" s="25">
        <v>148</v>
      </c>
      <c r="L118" s="25" t="s">
        <v>175</v>
      </c>
      <c r="M118" s="25" t="s">
        <v>498</v>
      </c>
      <c r="N118" s="14">
        <v>159</v>
      </c>
      <c r="O118" s="14">
        <v>173</v>
      </c>
      <c r="P118" s="14" t="s">
        <v>504</v>
      </c>
      <c r="Q118" s="14" t="s">
        <v>152</v>
      </c>
      <c r="R118" s="14">
        <v>150</v>
      </c>
      <c r="S118" s="14">
        <v>190</v>
      </c>
      <c r="T118" s="14">
        <f t="shared" ref="T118" si="164">R118-G118</f>
        <v>116</v>
      </c>
      <c r="U118" s="14">
        <f t="shared" ref="U118" si="165">S118-G118</f>
        <v>156</v>
      </c>
      <c r="V118" s="14" t="s">
        <v>503</v>
      </c>
      <c r="W118" s="14" t="s">
        <v>152</v>
      </c>
      <c r="X118" s="14">
        <v>0</v>
      </c>
    </row>
    <row r="119" spans="1:24" s="23" customFormat="1" ht="17" x14ac:dyDescent="0.2">
      <c r="A119" s="10" t="s">
        <v>52</v>
      </c>
      <c r="B119" s="9">
        <v>454993</v>
      </c>
      <c r="C119" s="9" t="s">
        <v>108</v>
      </c>
      <c r="D119" s="9">
        <f t="shared" si="155"/>
        <v>1</v>
      </c>
      <c r="E119" s="9">
        <v>-129</v>
      </c>
      <c r="F119" s="9">
        <f t="shared" si="156"/>
        <v>454864</v>
      </c>
      <c r="G119" s="9">
        <v>454879</v>
      </c>
      <c r="H119" s="9">
        <f t="shared" si="157"/>
        <v>455038</v>
      </c>
      <c r="I119" s="9" t="s">
        <v>508</v>
      </c>
      <c r="J119" s="22" t="s">
        <v>507</v>
      </c>
      <c r="K119" s="23">
        <v>454994</v>
      </c>
      <c r="L119" s="23" t="s">
        <v>175</v>
      </c>
      <c r="M119" s="23" t="s">
        <v>506</v>
      </c>
      <c r="N119" s="9">
        <v>454956</v>
      </c>
      <c r="O119" s="9">
        <v>454994</v>
      </c>
      <c r="P119" s="9" t="s">
        <v>511</v>
      </c>
      <c r="Q119" s="9" t="s">
        <v>144</v>
      </c>
      <c r="R119" s="9">
        <f>S119-35</f>
        <v>454969</v>
      </c>
      <c r="S119" s="9">
        <v>455004</v>
      </c>
      <c r="T119" s="9">
        <f t="shared" si="149"/>
        <v>90</v>
      </c>
      <c r="U119" s="9">
        <f t="shared" si="150"/>
        <v>125</v>
      </c>
      <c r="V119" s="9" t="s">
        <v>509</v>
      </c>
      <c r="W119" s="9" t="s">
        <v>144</v>
      </c>
      <c r="X119" s="9">
        <v>0</v>
      </c>
    </row>
    <row r="120" spans="1:24" s="23" customFormat="1" ht="17" x14ac:dyDescent="0.2">
      <c r="A120" s="10" t="s">
        <v>52</v>
      </c>
      <c r="B120" s="9">
        <v>454993</v>
      </c>
      <c r="C120" s="9" t="s">
        <v>108</v>
      </c>
      <c r="D120" s="9">
        <f t="shared" ref="D120" si="166">IF(C120="fwd",1,-1)</f>
        <v>1</v>
      </c>
      <c r="E120" s="9">
        <v>-129</v>
      </c>
      <c r="F120" s="9">
        <f t="shared" ref="F120" si="167">B120+D120*E120</f>
        <v>454864</v>
      </c>
      <c r="G120" s="9">
        <v>454879</v>
      </c>
      <c r="H120" s="9">
        <f t="shared" si="157"/>
        <v>455038</v>
      </c>
      <c r="I120" s="9" t="s">
        <v>508</v>
      </c>
      <c r="J120" s="22" t="s">
        <v>507</v>
      </c>
      <c r="K120" s="23">
        <v>454994</v>
      </c>
      <c r="L120" s="23" t="s">
        <v>175</v>
      </c>
      <c r="M120" s="23" t="s">
        <v>506</v>
      </c>
      <c r="N120" s="9" t="s">
        <v>143</v>
      </c>
      <c r="O120" s="9" t="s">
        <v>143</v>
      </c>
      <c r="P120" s="9" t="s">
        <v>143</v>
      </c>
      <c r="Q120" s="9" t="s">
        <v>143</v>
      </c>
      <c r="R120" s="9">
        <v>454883</v>
      </c>
      <c r="S120" s="9">
        <f>R120+28</f>
        <v>454911</v>
      </c>
      <c r="T120" s="9">
        <f t="shared" ref="T120" si="168">R120-G120</f>
        <v>4</v>
      </c>
      <c r="U120" s="9">
        <f t="shared" ref="U120" si="169">S120-G120</f>
        <v>32</v>
      </c>
      <c r="V120" s="9" t="s">
        <v>510</v>
      </c>
      <c r="W120" s="9" t="s">
        <v>135</v>
      </c>
      <c r="X120" s="9">
        <v>1</v>
      </c>
    </row>
    <row r="121" spans="1:24" s="25" customFormat="1" ht="17" x14ac:dyDescent="0.2">
      <c r="A121" s="13" t="s">
        <v>120</v>
      </c>
      <c r="B121" s="14">
        <v>189712</v>
      </c>
      <c r="C121" s="14" t="s">
        <v>108</v>
      </c>
      <c r="D121" s="14">
        <f t="shared" si="155"/>
        <v>1</v>
      </c>
      <c r="E121" s="14">
        <v>0</v>
      </c>
      <c r="F121" s="14">
        <f t="shared" si="156"/>
        <v>189712</v>
      </c>
      <c r="G121" s="14">
        <v>189598</v>
      </c>
      <c r="H121" s="14">
        <f t="shared" si="157"/>
        <v>189757</v>
      </c>
      <c r="I121" s="14" t="s">
        <v>514</v>
      </c>
      <c r="J121" s="24" t="s">
        <v>513</v>
      </c>
      <c r="K121" s="25">
        <v>189712</v>
      </c>
      <c r="L121" s="25" t="s">
        <v>175</v>
      </c>
      <c r="M121" s="25" t="s">
        <v>512</v>
      </c>
      <c r="N121" s="14">
        <v>189678</v>
      </c>
      <c r="O121" s="14">
        <v>189712</v>
      </c>
      <c r="P121" s="14" t="s">
        <v>519</v>
      </c>
      <c r="Q121" s="14" t="s">
        <v>144</v>
      </c>
      <c r="R121" s="14" t="s">
        <v>143</v>
      </c>
      <c r="S121" s="14" t="s">
        <v>143</v>
      </c>
      <c r="T121" s="14" t="s">
        <v>143</v>
      </c>
      <c r="U121" s="14" t="s">
        <v>143</v>
      </c>
      <c r="V121" s="14" t="s">
        <v>143</v>
      </c>
      <c r="W121" s="14" t="s">
        <v>143</v>
      </c>
      <c r="X121" s="14">
        <v>-1</v>
      </c>
    </row>
    <row r="122" spans="1:24" s="25" customFormat="1" ht="17" x14ac:dyDescent="0.2">
      <c r="A122" s="13" t="s">
        <v>120</v>
      </c>
      <c r="B122" s="14">
        <v>189712</v>
      </c>
      <c r="C122" s="14" t="s">
        <v>108</v>
      </c>
      <c r="D122" s="14">
        <f t="shared" ref="D122" si="170">IF(C122="fwd",1,-1)</f>
        <v>1</v>
      </c>
      <c r="E122" s="14">
        <v>0</v>
      </c>
      <c r="F122" s="14">
        <f t="shared" ref="F122" si="171">B122+D122*E122</f>
        <v>189712</v>
      </c>
      <c r="G122" s="14">
        <v>189598</v>
      </c>
      <c r="H122" s="14">
        <f t="shared" si="157"/>
        <v>189757</v>
      </c>
      <c r="I122" s="14" t="s">
        <v>514</v>
      </c>
      <c r="J122" s="24" t="s">
        <v>513</v>
      </c>
      <c r="K122" s="25">
        <v>189712</v>
      </c>
      <c r="L122" s="25" t="s">
        <v>175</v>
      </c>
      <c r="M122" s="25" t="s">
        <v>512</v>
      </c>
      <c r="N122" s="14">
        <v>189597</v>
      </c>
      <c r="O122" s="14">
        <v>189617</v>
      </c>
      <c r="P122" s="14" t="s">
        <v>517</v>
      </c>
      <c r="Q122" s="14" t="s">
        <v>135</v>
      </c>
      <c r="R122" s="14">
        <v>189601</v>
      </c>
      <c r="S122" s="14">
        <f>R122+33</f>
        <v>189634</v>
      </c>
      <c r="T122" s="14">
        <f t="shared" ref="T122" si="172">R122-G122</f>
        <v>3</v>
      </c>
      <c r="U122" s="14">
        <f t="shared" ref="U122" si="173">S122-G122</f>
        <v>36</v>
      </c>
      <c r="V122" s="14" t="s">
        <v>515</v>
      </c>
      <c r="W122" s="14" t="s">
        <v>135</v>
      </c>
      <c r="X122" s="14">
        <v>0</v>
      </c>
    </row>
    <row r="123" spans="1:24" s="25" customFormat="1" ht="17" x14ac:dyDescent="0.2">
      <c r="A123" s="13" t="s">
        <v>120</v>
      </c>
      <c r="B123" s="14">
        <v>189712</v>
      </c>
      <c r="C123" s="14" t="s">
        <v>108</v>
      </c>
      <c r="D123" s="14">
        <f t="shared" ref="D123" si="174">IF(C123="fwd",1,-1)</f>
        <v>1</v>
      </c>
      <c r="E123" s="14">
        <v>0</v>
      </c>
      <c r="F123" s="14">
        <f t="shared" ref="F123" si="175">B123+D123*E123</f>
        <v>189712</v>
      </c>
      <c r="G123" s="14">
        <v>189598</v>
      </c>
      <c r="H123" s="14">
        <f t="shared" si="157"/>
        <v>189757</v>
      </c>
      <c r="I123" s="14" t="s">
        <v>514</v>
      </c>
      <c r="J123" s="24" t="s">
        <v>513</v>
      </c>
      <c r="K123" s="25">
        <v>189712</v>
      </c>
      <c r="L123" s="25" t="s">
        <v>175</v>
      </c>
      <c r="M123" s="25" t="s">
        <v>512</v>
      </c>
      <c r="N123" s="14">
        <v>189734</v>
      </c>
      <c r="O123" s="14">
        <v>189832</v>
      </c>
      <c r="P123" s="14" t="s">
        <v>518</v>
      </c>
      <c r="Q123" s="14" t="s">
        <v>152</v>
      </c>
      <c r="R123" s="14">
        <f>S123-11</f>
        <v>189746</v>
      </c>
      <c r="S123" s="14">
        <v>189757</v>
      </c>
      <c r="T123" s="14">
        <f t="shared" ref="T123" si="176">R123-G123</f>
        <v>148</v>
      </c>
      <c r="U123" s="14">
        <f t="shared" ref="U123" si="177">S123-G123</f>
        <v>159</v>
      </c>
      <c r="V123" s="14" t="s">
        <v>516</v>
      </c>
      <c r="W123" s="14" t="s">
        <v>152</v>
      </c>
      <c r="X123" s="14">
        <v>0</v>
      </c>
    </row>
    <row r="124" spans="1:24" s="23" customFormat="1" ht="17" x14ac:dyDescent="0.2">
      <c r="A124" s="10" t="s">
        <v>81</v>
      </c>
      <c r="B124" s="9">
        <v>3948058</v>
      </c>
      <c r="C124" s="9" t="s">
        <v>108</v>
      </c>
      <c r="D124" s="9">
        <f t="shared" si="155"/>
        <v>1</v>
      </c>
      <c r="E124" s="9">
        <v>-28</v>
      </c>
      <c r="F124" s="9">
        <f t="shared" si="156"/>
        <v>3948030</v>
      </c>
      <c r="G124" s="26">
        <v>3947944</v>
      </c>
      <c r="H124" s="26">
        <v>3948103</v>
      </c>
      <c r="I124" s="9" t="s">
        <v>521</v>
      </c>
      <c r="J124" s="22" t="s">
        <v>520</v>
      </c>
      <c r="K124" s="9" t="s">
        <v>109</v>
      </c>
      <c r="L124" s="9" t="s">
        <v>143</v>
      </c>
      <c r="M124" s="9" t="s">
        <v>143</v>
      </c>
      <c r="N124" s="9" t="s">
        <v>143</v>
      </c>
      <c r="O124" s="9" t="s">
        <v>143</v>
      </c>
      <c r="P124" s="9" t="s">
        <v>143</v>
      </c>
      <c r="Q124" s="9" t="s">
        <v>143</v>
      </c>
      <c r="R124" s="9">
        <v>3947980</v>
      </c>
      <c r="S124" s="9">
        <f>R124+53</f>
        <v>3948033</v>
      </c>
      <c r="T124" s="9">
        <f t="shared" si="149"/>
        <v>36</v>
      </c>
      <c r="U124" s="9">
        <f t="shared" si="150"/>
        <v>89</v>
      </c>
      <c r="V124" s="9" t="s">
        <v>522</v>
      </c>
      <c r="W124" s="9" t="s">
        <v>135</v>
      </c>
      <c r="X124" s="9">
        <v>1</v>
      </c>
    </row>
    <row r="125" spans="1:24" s="25" customFormat="1" ht="17" x14ac:dyDescent="0.2">
      <c r="A125" s="13" t="s">
        <v>20</v>
      </c>
      <c r="B125" s="14">
        <v>911076</v>
      </c>
      <c r="C125" s="14" t="s">
        <v>118</v>
      </c>
      <c r="D125" s="14">
        <f t="shared" si="155"/>
        <v>-1</v>
      </c>
      <c r="E125" s="14">
        <v>0</v>
      </c>
      <c r="F125" s="14">
        <f t="shared" si="156"/>
        <v>911076</v>
      </c>
      <c r="G125" s="14">
        <v>911032</v>
      </c>
      <c r="H125" s="14">
        <f t="shared" si="157"/>
        <v>911191</v>
      </c>
      <c r="I125" s="14" t="s">
        <v>523</v>
      </c>
      <c r="J125" s="27" t="s">
        <v>525</v>
      </c>
      <c r="K125" s="19">
        <v>911076</v>
      </c>
      <c r="L125" s="19" t="s">
        <v>175</v>
      </c>
      <c r="M125" s="19" t="s">
        <v>524</v>
      </c>
      <c r="N125" s="14">
        <v>911076</v>
      </c>
      <c r="O125" s="14">
        <v>911115</v>
      </c>
      <c r="P125" s="14" t="s">
        <v>526</v>
      </c>
      <c r="Q125" s="14" t="s">
        <v>144</v>
      </c>
      <c r="R125" s="14">
        <f>S125-39</f>
        <v>911076</v>
      </c>
      <c r="S125" s="14">
        <v>911115</v>
      </c>
      <c r="T125" s="14">
        <f t="shared" si="149"/>
        <v>44</v>
      </c>
      <c r="U125" s="14">
        <f t="shared" si="150"/>
        <v>83</v>
      </c>
      <c r="V125" s="14" t="s">
        <v>526</v>
      </c>
      <c r="W125" s="14" t="s">
        <v>144</v>
      </c>
      <c r="X125" s="14">
        <v>0</v>
      </c>
    </row>
    <row r="126" spans="1:24" s="25" customFormat="1" ht="17" x14ac:dyDescent="0.2">
      <c r="A126" s="13" t="s">
        <v>20</v>
      </c>
      <c r="B126" s="14">
        <v>911076</v>
      </c>
      <c r="C126" s="14" t="s">
        <v>118</v>
      </c>
      <c r="D126" s="14">
        <f t="shared" ref="D126" si="178">IF(C126="fwd",1,-1)</f>
        <v>-1</v>
      </c>
      <c r="E126" s="14">
        <v>0</v>
      </c>
      <c r="F126" s="14">
        <f t="shared" ref="F126" si="179">B126+D126*E126</f>
        <v>911076</v>
      </c>
      <c r="G126" s="14">
        <v>911032</v>
      </c>
      <c r="H126" s="14">
        <f t="shared" si="157"/>
        <v>911191</v>
      </c>
      <c r="I126" s="14" t="s">
        <v>523</v>
      </c>
      <c r="J126" s="27" t="s">
        <v>525</v>
      </c>
      <c r="K126" s="19">
        <v>911076</v>
      </c>
      <c r="L126" s="19" t="s">
        <v>175</v>
      </c>
      <c r="M126" s="19" t="s">
        <v>524</v>
      </c>
      <c r="N126" s="14">
        <v>911128</v>
      </c>
      <c r="O126" s="14">
        <v>911146</v>
      </c>
      <c r="P126" s="14" t="s">
        <v>527</v>
      </c>
      <c r="Q126" s="14" t="s">
        <v>144</v>
      </c>
      <c r="R126" s="14" t="s">
        <v>143</v>
      </c>
      <c r="S126" s="14" t="s">
        <v>143</v>
      </c>
      <c r="T126" s="14" t="s">
        <v>143</v>
      </c>
      <c r="U126" s="14" t="s">
        <v>143</v>
      </c>
      <c r="V126" s="14" t="s">
        <v>143</v>
      </c>
      <c r="W126" s="14" t="s">
        <v>143</v>
      </c>
      <c r="X126" s="14">
        <v>-1</v>
      </c>
    </row>
    <row r="127" spans="1:24" s="23" customFormat="1" ht="17" x14ac:dyDescent="0.2">
      <c r="A127" s="10" t="s">
        <v>82</v>
      </c>
      <c r="B127" s="9">
        <v>1655186</v>
      </c>
      <c r="C127" s="9" t="s">
        <v>118</v>
      </c>
      <c r="D127" s="9">
        <f t="shared" si="155"/>
        <v>-1</v>
      </c>
      <c r="E127" s="9">
        <v>-45</v>
      </c>
      <c r="F127" s="9">
        <f t="shared" si="156"/>
        <v>1655231</v>
      </c>
      <c r="G127" s="9">
        <v>1655142</v>
      </c>
      <c r="H127" s="9">
        <f t="shared" si="157"/>
        <v>1655301</v>
      </c>
      <c r="I127" s="9" t="s">
        <v>530</v>
      </c>
      <c r="J127" s="22" t="s">
        <v>529</v>
      </c>
      <c r="K127" s="23">
        <v>1655171</v>
      </c>
      <c r="M127" s="23" t="s">
        <v>528</v>
      </c>
      <c r="N127" s="9">
        <v>1655156</v>
      </c>
      <c r="O127" s="9">
        <v>1655184</v>
      </c>
      <c r="P127" s="9" t="s">
        <v>531</v>
      </c>
      <c r="Q127" s="9" t="s">
        <v>144</v>
      </c>
      <c r="R127" s="9">
        <f>S127-25</f>
        <v>1655149</v>
      </c>
      <c r="S127" s="9">
        <v>1655174</v>
      </c>
      <c r="T127" s="9">
        <f t="shared" si="149"/>
        <v>7</v>
      </c>
      <c r="U127" s="9">
        <f t="shared" si="150"/>
        <v>32</v>
      </c>
      <c r="V127" s="9" t="s">
        <v>532</v>
      </c>
      <c r="W127" s="9" t="s">
        <v>144</v>
      </c>
      <c r="X127" s="9">
        <v>0</v>
      </c>
    </row>
    <row r="128" spans="1:24" s="23" customFormat="1" ht="17" x14ac:dyDescent="0.2">
      <c r="A128" s="10" t="s">
        <v>82</v>
      </c>
      <c r="B128" s="9">
        <v>1655186</v>
      </c>
      <c r="C128" s="9" t="s">
        <v>118</v>
      </c>
      <c r="D128" s="9">
        <f t="shared" ref="D128" si="180">IF(C128="fwd",1,-1)</f>
        <v>-1</v>
      </c>
      <c r="E128" s="9">
        <v>-45</v>
      </c>
      <c r="F128" s="9">
        <f t="shared" ref="F128" si="181">B128+D128*E128</f>
        <v>1655231</v>
      </c>
      <c r="G128" s="9">
        <v>1655142</v>
      </c>
      <c r="H128" s="9">
        <f t="shared" ref="H128" si="182">G128+159</f>
        <v>1655301</v>
      </c>
      <c r="I128" s="9" t="s">
        <v>530</v>
      </c>
      <c r="J128" s="22" t="s">
        <v>529</v>
      </c>
      <c r="K128" s="23">
        <v>1655171</v>
      </c>
      <c r="M128" s="23" t="s">
        <v>528</v>
      </c>
      <c r="N128" s="9">
        <v>1655201</v>
      </c>
      <c r="O128" s="9">
        <v>1655211</v>
      </c>
      <c r="P128" s="9" t="s">
        <v>533</v>
      </c>
      <c r="Q128" s="9" t="s">
        <v>152</v>
      </c>
      <c r="R128" s="9" t="s">
        <v>143</v>
      </c>
      <c r="S128" s="9" t="s">
        <v>143</v>
      </c>
      <c r="T128" s="9" t="s">
        <v>143</v>
      </c>
      <c r="U128" s="9" t="s">
        <v>143</v>
      </c>
      <c r="V128" s="9" t="s">
        <v>143</v>
      </c>
      <c r="W128" s="9" t="s">
        <v>143</v>
      </c>
      <c r="X128" s="9">
        <v>-1</v>
      </c>
    </row>
    <row r="129" spans="1:24" s="23" customFormat="1" ht="17" x14ac:dyDescent="0.2">
      <c r="A129" s="10" t="s">
        <v>82</v>
      </c>
      <c r="B129" s="9">
        <v>1655186</v>
      </c>
      <c r="C129" s="9" t="s">
        <v>118</v>
      </c>
      <c r="D129" s="9">
        <f t="shared" ref="D129" si="183">IF(C129="fwd",1,-1)</f>
        <v>-1</v>
      </c>
      <c r="E129" s="9">
        <v>-45</v>
      </c>
      <c r="F129" s="9">
        <f t="shared" ref="F129" si="184">B129+D129*E129</f>
        <v>1655231</v>
      </c>
      <c r="G129" s="9">
        <v>1655142</v>
      </c>
      <c r="H129" s="9">
        <f t="shared" ref="H129" si="185">G129+159</f>
        <v>1655301</v>
      </c>
      <c r="I129" s="9" t="s">
        <v>530</v>
      </c>
      <c r="J129" s="22" t="s">
        <v>529</v>
      </c>
      <c r="K129" s="23">
        <v>1655171</v>
      </c>
      <c r="M129" s="23" t="s">
        <v>528</v>
      </c>
      <c r="N129" s="9">
        <v>1655224</v>
      </c>
      <c r="O129" s="9">
        <v>1655242</v>
      </c>
      <c r="P129" s="9" t="s">
        <v>534</v>
      </c>
      <c r="Q129" s="9" t="s">
        <v>135</v>
      </c>
      <c r="R129" s="9">
        <f>S129-14</f>
        <v>1655216</v>
      </c>
      <c r="S129" s="9">
        <v>1655230</v>
      </c>
      <c r="T129" s="9">
        <f t="shared" ref="T129" si="186">R129-G129</f>
        <v>74</v>
      </c>
      <c r="U129" s="9">
        <f t="shared" ref="U129" si="187">S129-G129</f>
        <v>88</v>
      </c>
      <c r="V129" s="9" t="s">
        <v>535</v>
      </c>
      <c r="W129" s="9" t="s">
        <v>152</v>
      </c>
      <c r="X129" s="9">
        <v>0</v>
      </c>
    </row>
    <row r="130" spans="1:24" s="29" customFormat="1" ht="17" x14ac:dyDescent="0.2">
      <c r="A130" s="16" t="s">
        <v>46</v>
      </c>
      <c r="B130" s="17">
        <v>4390638</v>
      </c>
      <c r="C130" s="17" t="s">
        <v>118</v>
      </c>
      <c r="D130" s="17">
        <f t="shared" si="155"/>
        <v>-1</v>
      </c>
      <c r="E130" s="17">
        <v>0</v>
      </c>
      <c r="F130" s="17">
        <f t="shared" si="156"/>
        <v>4390638</v>
      </c>
      <c r="G130" s="17">
        <v>4390594</v>
      </c>
      <c r="H130" s="17">
        <f t="shared" si="157"/>
        <v>4390753</v>
      </c>
      <c r="I130" s="17" t="s">
        <v>537</v>
      </c>
      <c r="J130" s="28" t="s">
        <v>536</v>
      </c>
      <c r="K130" s="17" t="s">
        <v>109</v>
      </c>
      <c r="L130" s="17" t="s">
        <v>143</v>
      </c>
      <c r="M130" s="17" t="s">
        <v>143</v>
      </c>
      <c r="N130" s="17" t="s">
        <v>143</v>
      </c>
      <c r="O130" s="17" t="s">
        <v>143</v>
      </c>
      <c r="P130" s="17" t="s">
        <v>143</v>
      </c>
      <c r="Q130" s="17" t="s">
        <v>143</v>
      </c>
      <c r="R130" s="17" t="s">
        <v>143</v>
      </c>
      <c r="S130" s="17" t="s">
        <v>143</v>
      </c>
      <c r="T130" s="17" t="s">
        <v>143</v>
      </c>
      <c r="U130" s="17" t="s">
        <v>143</v>
      </c>
      <c r="V130" s="17" t="s">
        <v>143</v>
      </c>
      <c r="W130" s="17" t="s">
        <v>143</v>
      </c>
      <c r="X130" s="17">
        <v>0</v>
      </c>
    </row>
    <row r="131" spans="1:24" s="23" customFormat="1" ht="17" x14ac:dyDescent="0.2">
      <c r="A131" s="10" t="s">
        <v>73</v>
      </c>
      <c r="B131" s="9">
        <v>4640508</v>
      </c>
      <c r="C131" s="9" t="s">
        <v>118</v>
      </c>
      <c r="D131" s="9">
        <f t="shared" si="155"/>
        <v>-1</v>
      </c>
      <c r="E131" s="9">
        <v>0</v>
      </c>
      <c r="F131" s="9">
        <f t="shared" si="156"/>
        <v>4640508</v>
      </c>
      <c r="G131" s="9">
        <v>4640464</v>
      </c>
      <c r="H131" s="9">
        <f t="shared" si="157"/>
        <v>4640623</v>
      </c>
      <c r="I131" s="9" t="s">
        <v>544</v>
      </c>
      <c r="J131" s="22" t="s">
        <v>543</v>
      </c>
      <c r="K131" s="23">
        <v>4640508</v>
      </c>
      <c r="L131" s="23" t="s">
        <v>175</v>
      </c>
      <c r="M131" s="23" t="s">
        <v>542</v>
      </c>
      <c r="N131" s="9">
        <v>4640495</v>
      </c>
      <c r="O131" s="9">
        <v>4640623</v>
      </c>
      <c r="P131" s="9" t="s">
        <v>545</v>
      </c>
      <c r="Q131" s="9" t="s">
        <v>546</v>
      </c>
      <c r="R131" s="9">
        <f>S131-35</f>
        <v>4640480</v>
      </c>
      <c r="S131" s="9">
        <v>4640515</v>
      </c>
      <c r="T131" s="9">
        <f t="shared" si="149"/>
        <v>16</v>
      </c>
      <c r="U131" s="9">
        <f t="shared" si="150"/>
        <v>51</v>
      </c>
      <c r="V131" s="9" t="s">
        <v>547</v>
      </c>
      <c r="W131" s="9" t="s">
        <v>144</v>
      </c>
      <c r="X131" s="9">
        <v>0</v>
      </c>
    </row>
    <row r="132" spans="1:24" s="23" customFormat="1" ht="17" x14ac:dyDescent="0.2">
      <c r="A132" s="10" t="s">
        <v>73</v>
      </c>
      <c r="B132" s="9">
        <v>4640508</v>
      </c>
      <c r="C132" s="9" t="s">
        <v>118</v>
      </c>
      <c r="D132" s="9">
        <f t="shared" ref="D132" si="188">IF(C132="fwd",1,-1)</f>
        <v>-1</v>
      </c>
      <c r="E132" s="9">
        <v>0</v>
      </c>
      <c r="F132" s="9">
        <f t="shared" ref="F132" si="189">B132+D132*E132</f>
        <v>4640508</v>
      </c>
      <c r="G132" s="9">
        <v>4640464</v>
      </c>
      <c r="H132" s="9">
        <f t="shared" ref="H132" si="190">G132+159</f>
        <v>4640623</v>
      </c>
      <c r="I132" s="9" t="s">
        <v>544</v>
      </c>
      <c r="J132" s="22" t="s">
        <v>543</v>
      </c>
      <c r="K132" s="23">
        <v>4640508</v>
      </c>
      <c r="L132" s="23" t="s">
        <v>175</v>
      </c>
      <c r="M132" s="23" t="s">
        <v>542</v>
      </c>
      <c r="N132" s="9">
        <v>4640584</v>
      </c>
      <c r="O132" s="9">
        <v>4640597</v>
      </c>
      <c r="P132" s="3" t="s">
        <v>548</v>
      </c>
      <c r="Q132" s="9" t="s">
        <v>135</v>
      </c>
      <c r="R132" s="9">
        <v>4640590</v>
      </c>
      <c r="S132" s="9">
        <f>R132+13</f>
        <v>4640603</v>
      </c>
      <c r="T132" s="9">
        <f t="shared" ref="T132" si="191">R132-G132</f>
        <v>126</v>
      </c>
      <c r="U132" s="9">
        <f t="shared" ref="U132" si="192">S132-G132</f>
        <v>139</v>
      </c>
      <c r="V132" s="9" t="s">
        <v>549</v>
      </c>
      <c r="W132" s="9" t="s">
        <v>135</v>
      </c>
      <c r="X132" s="9">
        <v>0</v>
      </c>
    </row>
    <row r="133" spans="1:24" s="25" customFormat="1" ht="17" x14ac:dyDescent="0.2">
      <c r="A133" s="13" t="s">
        <v>25</v>
      </c>
      <c r="B133" s="14">
        <v>1972716</v>
      </c>
      <c r="C133" s="14" t="s">
        <v>118</v>
      </c>
      <c r="D133" s="14">
        <f t="shared" si="155"/>
        <v>-1</v>
      </c>
      <c r="E133" s="14">
        <v>0</v>
      </c>
      <c r="F133" s="14">
        <f t="shared" si="156"/>
        <v>1972716</v>
      </c>
      <c r="G133" s="14">
        <v>1972672</v>
      </c>
      <c r="H133" s="14">
        <f t="shared" si="157"/>
        <v>1972831</v>
      </c>
      <c r="I133" s="14" t="s">
        <v>552</v>
      </c>
      <c r="J133" s="24" t="s">
        <v>551</v>
      </c>
      <c r="K133" s="25">
        <v>1972716</v>
      </c>
      <c r="L133" s="25" t="s">
        <v>248</v>
      </c>
      <c r="M133" s="25" t="s">
        <v>550</v>
      </c>
      <c r="N133" s="14">
        <v>1972702</v>
      </c>
      <c r="O133" s="14">
        <v>1972739</v>
      </c>
      <c r="P133" s="14" t="s">
        <v>553</v>
      </c>
      <c r="Q133" s="14" t="s">
        <v>144</v>
      </c>
      <c r="R133" s="14">
        <f>S133-12</f>
        <v>1972698</v>
      </c>
      <c r="S133" s="14">
        <v>1972710</v>
      </c>
      <c r="T133" s="14">
        <f t="shared" si="149"/>
        <v>26</v>
      </c>
      <c r="U133" s="14">
        <f t="shared" si="150"/>
        <v>38</v>
      </c>
      <c r="V133" s="14" t="s">
        <v>554</v>
      </c>
      <c r="W133" s="14" t="s">
        <v>144</v>
      </c>
      <c r="X133" s="14">
        <v>0</v>
      </c>
    </row>
    <row r="134" spans="1:24" s="25" customFormat="1" ht="17" x14ac:dyDescent="0.2">
      <c r="A134" s="13" t="s">
        <v>25</v>
      </c>
      <c r="B134" s="14">
        <v>1972716</v>
      </c>
      <c r="C134" s="14" t="s">
        <v>118</v>
      </c>
      <c r="D134" s="14">
        <f t="shared" ref="D134" si="193">IF(C134="fwd",1,-1)</f>
        <v>-1</v>
      </c>
      <c r="E134" s="14">
        <v>0</v>
      </c>
      <c r="F134" s="14">
        <f t="shared" ref="F134" si="194">B134+D134*E134</f>
        <v>1972716</v>
      </c>
      <c r="G134" s="14">
        <v>1972672</v>
      </c>
      <c r="H134" s="14">
        <f t="shared" ref="H134" si="195">G134+159</f>
        <v>1972831</v>
      </c>
      <c r="I134" s="14" t="s">
        <v>552</v>
      </c>
      <c r="J134" s="24" t="s">
        <v>551</v>
      </c>
      <c r="K134" s="25">
        <v>1972716</v>
      </c>
      <c r="L134" s="25" t="s">
        <v>248</v>
      </c>
      <c r="M134" s="25" t="s">
        <v>550</v>
      </c>
      <c r="N134" s="14" t="s">
        <v>143</v>
      </c>
      <c r="O134" s="14" t="s">
        <v>143</v>
      </c>
      <c r="P134" s="14" t="s">
        <v>143</v>
      </c>
      <c r="Q134" s="14" t="s">
        <v>143</v>
      </c>
      <c r="R134" s="25">
        <f>S134-18</f>
        <v>1972772</v>
      </c>
      <c r="S134" s="14">
        <v>1972790</v>
      </c>
      <c r="T134" s="14">
        <f>R134-G134</f>
        <v>100</v>
      </c>
      <c r="U134" s="14">
        <f>S134-G134</f>
        <v>118</v>
      </c>
      <c r="V134" s="14" t="s">
        <v>555</v>
      </c>
      <c r="W134" s="14" t="s">
        <v>135</v>
      </c>
      <c r="X134" s="14">
        <v>1</v>
      </c>
    </row>
    <row r="135" spans="1:24" s="23" customFormat="1" ht="17" x14ac:dyDescent="0.2">
      <c r="A135" s="10" t="s">
        <v>91</v>
      </c>
      <c r="B135" s="9">
        <v>652172</v>
      </c>
      <c r="C135" s="9" t="s">
        <v>108</v>
      </c>
      <c r="D135" s="9">
        <f t="shared" si="155"/>
        <v>1</v>
      </c>
      <c r="E135" s="9">
        <v>0</v>
      </c>
      <c r="F135" s="9">
        <f t="shared" ref="F135" si="196">B135+D135*E135</f>
        <v>652172</v>
      </c>
      <c r="G135" s="11">
        <v>652058</v>
      </c>
      <c r="H135" s="9">
        <f>G135+D135*160-1</f>
        <v>652217</v>
      </c>
      <c r="I135" s="9" t="s">
        <v>153</v>
      </c>
      <c r="J135" s="12" t="s">
        <v>151</v>
      </c>
      <c r="K135" s="9">
        <v>652172</v>
      </c>
      <c r="L135" s="9" t="s">
        <v>109</v>
      </c>
      <c r="M135" s="9" t="s">
        <v>150</v>
      </c>
      <c r="N135" s="9">
        <v>652193</v>
      </c>
      <c r="O135" s="9">
        <v>652199</v>
      </c>
      <c r="P135" s="9" t="s">
        <v>155</v>
      </c>
      <c r="Q135" s="9" t="s">
        <v>152</v>
      </c>
      <c r="R135" s="11">
        <f>130+G135</f>
        <v>652188</v>
      </c>
      <c r="S135" s="11">
        <f>R135+30</f>
        <v>652218</v>
      </c>
      <c r="T135" s="9">
        <v>130</v>
      </c>
      <c r="U135" s="9">
        <v>160</v>
      </c>
      <c r="V135" s="9" t="s">
        <v>154</v>
      </c>
      <c r="W135" s="9" t="s">
        <v>152</v>
      </c>
      <c r="X135" s="9">
        <v>0</v>
      </c>
    </row>
    <row r="136" spans="1:24" s="23" customFormat="1" ht="17" x14ac:dyDescent="0.2">
      <c r="A136" s="10" t="s">
        <v>91</v>
      </c>
      <c r="B136" s="9">
        <v>652172</v>
      </c>
      <c r="C136" s="9" t="s">
        <v>108</v>
      </c>
      <c r="D136" s="9">
        <f t="shared" si="155"/>
        <v>1</v>
      </c>
      <c r="E136" s="9">
        <v>0</v>
      </c>
      <c r="F136" s="9">
        <f t="shared" si="156"/>
        <v>652172</v>
      </c>
      <c r="G136" s="11">
        <v>652058</v>
      </c>
      <c r="H136" s="9">
        <f>G136+D136*160-1</f>
        <v>652217</v>
      </c>
      <c r="I136" s="9" t="s">
        <v>153</v>
      </c>
      <c r="J136" s="12" t="s">
        <v>151</v>
      </c>
      <c r="K136" s="9">
        <v>652172</v>
      </c>
      <c r="L136" s="9" t="s">
        <v>109</v>
      </c>
      <c r="M136" s="9" t="s">
        <v>150</v>
      </c>
      <c r="N136" s="9">
        <v>652118</v>
      </c>
      <c r="O136" s="9">
        <v>652140</v>
      </c>
      <c r="P136" s="9" t="s">
        <v>156</v>
      </c>
      <c r="Q136" s="9" t="s">
        <v>135</v>
      </c>
      <c r="R136" s="11">
        <f>60+G136</f>
        <v>652118</v>
      </c>
      <c r="S136" s="11">
        <f>R136+25</f>
        <v>652143</v>
      </c>
      <c r="T136" s="9">
        <v>60</v>
      </c>
      <c r="U136" s="9">
        <v>85</v>
      </c>
      <c r="V136" s="9" t="s">
        <v>157</v>
      </c>
      <c r="W136" s="9" t="s">
        <v>135</v>
      </c>
      <c r="X136" s="9">
        <v>0</v>
      </c>
    </row>
    <row r="137" spans="1:24" s="25" customFormat="1" ht="17" x14ac:dyDescent="0.2">
      <c r="A137" s="13" t="s">
        <v>83</v>
      </c>
      <c r="B137" s="14">
        <v>70075</v>
      </c>
      <c r="C137" s="14" t="s">
        <v>118</v>
      </c>
      <c r="D137" s="14">
        <f t="shared" si="155"/>
        <v>-1</v>
      </c>
      <c r="E137" s="14">
        <v>0</v>
      </c>
      <c r="F137" s="14">
        <f t="shared" si="156"/>
        <v>70075</v>
      </c>
      <c r="G137" s="14">
        <v>70031</v>
      </c>
      <c r="H137" s="14">
        <f>G137+159</f>
        <v>70190</v>
      </c>
      <c r="I137" s="14" t="s">
        <v>558</v>
      </c>
      <c r="J137" s="24" t="s">
        <v>557</v>
      </c>
      <c r="K137" s="25">
        <v>70075</v>
      </c>
      <c r="L137" s="25" t="s">
        <v>175</v>
      </c>
      <c r="M137" s="25" t="s">
        <v>556</v>
      </c>
      <c r="N137" s="14">
        <v>70048</v>
      </c>
      <c r="O137" s="14">
        <v>70075</v>
      </c>
      <c r="P137" s="14" t="s">
        <v>559</v>
      </c>
      <c r="Q137" s="14" t="s">
        <v>144</v>
      </c>
      <c r="R137" s="14">
        <v>70040</v>
      </c>
      <c r="S137" s="14">
        <v>70053</v>
      </c>
      <c r="T137" s="14">
        <f>R137-G137</f>
        <v>9</v>
      </c>
      <c r="U137" s="14">
        <f>S137-G137</f>
        <v>22</v>
      </c>
      <c r="V137" s="14" t="s">
        <v>560</v>
      </c>
      <c r="W137" s="14" t="s">
        <v>144</v>
      </c>
      <c r="X137" s="14">
        <v>0</v>
      </c>
    </row>
    <row r="138" spans="1:24" s="25" customFormat="1" ht="17" x14ac:dyDescent="0.2">
      <c r="A138" s="13" t="s">
        <v>83</v>
      </c>
      <c r="B138" s="14">
        <v>70075</v>
      </c>
      <c r="C138" s="14" t="s">
        <v>118</v>
      </c>
      <c r="D138" s="14">
        <f t="shared" ref="D138" si="197">IF(C138="fwd",1,-1)</f>
        <v>-1</v>
      </c>
      <c r="E138" s="14">
        <v>0</v>
      </c>
      <c r="F138" s="14">
        <f t="shared" ref="F138" si="198">B138+D138*E138</f>
        <v>70075</v>
      </c>
      <c r="G138" s="14">
        <v>70031</v>
      </c>
      <c r="H138" s="14">
        <f>G138+159</f>
        <v>70190</v>
      </c>
      <c r="I138" s="14" t="s">
        <v>558</v>
      </c>
      <c r="J138" s="24" t="s">
        <v>557</v>
      </c>
      <c r="K138" s="25">
        <v>70075</v>
      </c>
      <c r="L138" s="25" t="s">
        <v>175</v>
      </c>
      <c r="M138" s="25" t="s">
        <v>556</v>
      </c>
      <c r="N138" s="14">
        <v>70110</v>
      </c>
      <c r="O138" s="14">
        <v>70129</v>
      </c>
      <c r="P138" s="14" t="s">
        <v>561</v>
      </c>
      <c r="Q138" s="14" t="s">
        <v>135</v>
      </c>
      <c r="R138" s="14">
        <f>S138-17</f>
        <v>70099</v>
      </c>
      <c r="S138" s="14">
        <v>70116</v>
      </c>
      <c r="T138" s="14">
        <f t="shared" ref="T138:T168" si="199">R138-G138</f>
        <v>68</v>
      </c>
      <c r="U138" s="14">
        <f>S138-G138</f>
        <v>85</v>
      </c>
      <c r="V138" s="14" t="s">
        <v>562</v>
      </c>
      <c r="W138" s="14" t="s">
        <v>135</v>
      </c>
      <c r="X138" s="14">
        <v>0</v>
      </c>
    </row>
    <row r="139" spans="1:24" s="25" customFormat="1" ht="17" x14ac:dyDescent="0.2">
      <c r="A139" s="13" t="s">
        <v>83</v>
      </c>
      <c r="B139" s="14">
        <v>70075</v>
      </c>
      <c r="C139" s="14" t="s">
        <v>118</v>
      </c>
      <c r="D139" s="14">
        <f t="shared" ref="D139" si="200">IF(C139="fwd",1,-1)</f>
        <v>-1</v>
      </c>
      <c r="E139" s="14">
        <v>0</v>
      </c>
      <c r="F139" s="14">
        <f t="shared" ref="F139" si="201">B139+D139*E139</f>
        <v>70075</v>
      </c>
      <c r="G139" s="14">
        <v>70031</v>
      </c>
      <c r="H139" s="14">
        <f>G139+159</f>
        <v>70190</v>
      </c>
      <c r="I139" s="14" t="s">
        <v>558</v>
      </c>
      <c r="J139" s="24" t="s">
        <v>557</v>
      </c>
      <c r="K139" s="25">
        <v>70075</v>
      </c>
      <c r="L139" s="25" t="s">
        <v>175</v>
      </c>
      <c r="M139" s="25" t="s">
        <v>556</v>
      </c>
      <c r="N139" s="14">
        <v>70158</v>
      </c>
      <c r="O139" s="14">
        <v>70179</v>
      </c>
      <c r="P139" s="14" t="s">
        <v>563</v>
      </c>
      <c r="Q139" s="14" t="s">
        <v>135</v>
      </c>
      <c r="R139" s="14">
        <v>70155</v>
      </c>
      <c r="S139" s="14">
        <f>R139+25</f>
        <v>70180</v>
      </c>
      <c r="T139" s="14">
        <f t="shared" si="199"/>
        <v>124</v>
      </c>
      <c r="U139" s="14">
        <f t="shared" ref="U139:U168" si="202">S139-G139</f>
        <v>149</v>
      </c>
      <c r="V139" s="14" t="s">
        <v>564</v>
      </c>
      <c r="W139" s="14" t="s">
        <v>135</v>
      </c>
      <c r="X139" s="14">
        <v>0</v>
      </c>
    </row>
    <row r="140" spans="1:24" s="23" customFormat="1" ht="17" x14ac:dyDescent="0.2">
      <c r="A140" s="10" t="s">
        <v>38</v>
      </c>
      <c r="B140" s="9">
        <v>70241</v>
      </c>
      <c r="C140" s="9" t="s">
        <v>108</v>
      </c>
      <c r="D140" s="9">
        <f t="shared" si="155"/>
        <v>1</v>
      </c>
      <c r="E140" s="9">
        <v>0</v>
      </c>
      <c r="F140" s="9">
        <f t="shared" si="156"/>
        <v>70241</v>
      </c>
      <c r="G140" s="9">
        <v>70127</v>
      </c>
      <c r="H140" s="9">
        <f t="shared" ref="H140:H168" si="203">G140+159</f>
        <v>70286</v>
      </c>
      <c r="I140" s="9" t="s">
        <v>567</v>
      </c>
      <c r="J140" s="22" t="s">
        <v>566</v>
      </c>
      <c r="K140" s="23">
        <v>70223</v>
      </c>
      <c r="L140" s="23" t="s">
        <v>175</v>
      </c>
      <c r="M140" s="23" t="s">
        <v>565</v>
      </c>
      <c r="N140" s="9">
        <v>70208</v>
      </c>
      <c r="O140" s="9">
        <v>70233</v>
      </c>
      <c r="P140" s="9" t="s">
        <v>568</v>
      </c>
      <c r="Q140" s="9" t="s">
        <v>144</v>
      </c>
      <c r="R140" s="9">
        <f>S140-15</f>
        <v>70228</v>
      </c>
      <c r="S140" s="9">
        <v>70243</v>
      </c>
      <c r="T140" s="9">
        <f t="shared" si="199"/>
        <v>101</v>
      </c>
      <c r="U140" s="9">
        <f t="shared" si="202"/>
        <v>116</v>
      </c>
      <c r="V140" s="9" t="s">
        <v>569</v>
      </c>
      <c r="W140" s="9" t="s">
        <v>144</v>
      </c>
      <c r="X140" s="9">
        <v>0</v>
      </c>
    </row>
    <row r="141" spans="1:24" s="23" customFormat="1" ht="17" x14ac:dyDescent="0.2">
      <c r="A141" s="10" t="s">
        <v>38</v>
      </c>
      <c r="B141" s="9">
        <v>70241</v>
      </c>
      <c r="C141" s="9" t="s">
        <v>108</v>
      </c>
      <c r="D141" s="9">
        <f t="shared" ref="D141" si="204">IF(C141="fwd",1,-1)</f>
        <v>1</v>
      </c>
      <c r="E141" s="9">
        <v>0</v>
      </c>
      <c r="F141" s="9">
        <f t="shared" ref="F141" si="205">B141+D141*E141</f>
        <v>70241</v>
      </c>
      <c r="G141" s="9">
        <v>70127</v>
      </c>
      <c r="H141" s="9">
        <f t="shared" si="203"/>
        <v>70286</v>
      </c>
      <c r="I141" s="9" t="s">
        <v>567</v>
      </c>
      <c r="J141" s="22" t="s">
        <v>566</v>
      </c>
      <c r="K141" s="23">
        <v>70223</v>
      </c>
      <c r="L141" s="23" t="s">
        <v>175</v>
      </c>
      <c r="M141" s="23" t="s">
        <v>565</v>
      </c>
      <c r="N141" s="9">
        <v>70184</v>
      </c>
      <c r="O141" s="9">
        <v>70233</v>
      </c>
      <c r="P141" s="9" t="s">
        <v>570</v>
      </c>
      <c r="Q141" s="9" t="s">
        <v>571</v>
      </c>
      <c r="R141" s="9">
        <v>70203</v>
      </c>
      <c r="S141" s="9">
        <f>R141+58</f>
        <v>70261</v>
      </c>
      <c r="T141" s="9">
        <f t="shared" ref="T141" si="206">R141-G141</f>
        <v>76</v>
      </c>
      <c r="U141" s="9">
        <f t="shared" ref="U141" si="207">S141-G141</f>
        <v>134</v>
      </c>
      <c r="V141" s="9" t="s">
        <v>572</v>
      </c>
      <c r="W141" s="9" t="s">
        <v>152</v>
      </c>
      <c r="X141" s="9">
        <v>0</v>
      </c>
    </row>
    <row r="142" spans="1:24" s="23" customFormat="1" ht="17" x14ac:dyDescent="0.2">
      <c r="A142" s="10" t="s">
        <v>38</v>
      </c>
      <c r="B142" s="9">
        <v>70241</v>
      </c>
      <c r="C142" s="9" t="s">
        <v>108</v>
      </c>
      <c r="D142" s="9">
        <f t="shared" ref="D142" si="208">IF(C142="fwd",1,-1)</f>
        <v>1</v>
      </c>
      <c r="E142" s="9">
        <v>0</v>
      </c>
      <c r="F142" s="9">
        <f t="shared" ref="F142" si="209">B142+D142*E142</f>
        <v>70241</v>
      </c>
      <c r="G142" s="9">
        <v>70127</v>
      </c>
      <c r="H142" s="9">
        <f t="shared" si="203"/>
        <v>70286</v>
      </c>
      <c r="I142" s="9" t="s">
        <v>567</v>
      </c>
      <c r="J142" s="22" t="s">
        <v>566</v>
      </c>
      <c r="K142" s="23">
        <v>70223</v>
      </c>
      <c r="L142" s="23" t="s">
        <v>175</v>
      </c>
      <c r="M142" s="23" t="s">
        <v>565</v>
      </c>
      <c r="N142" s="9">
        <v>70158</v>
      </c>
      <c r="O142" s="9">
        <v>70180</v>
      </c>
      <c r="P142" s="9" t="s">
        <v>574</v>
      </c>
      <c r="Q142" s="9" t="s">
        <v>135</v>
      </c>
      <c r="R142" s="9">
        <f>S142-13</f>
        <v>70157</v>
      </c>
      <c r="S142" s="9">
        <v>70170</v>
      </c>
      <c r="T142" s="9">
        <f t="shared" ref="T142" si="210">R142-G142</f>
        <v>30</v>
      </c>
      <c r="U142" s="9">
        <f t="shared" ref="U142" si="211">S142-G142</f>
        <v>43</v>
      </c>
      <c r="V142" s="9" t="s">
        <v>575</v>
      </c>
      <c r="W142" s="9" t="s">
        <v>135</v>
      </c>
      <c r="X142" s="9">
        <v>0</v>
      </c>
    </row>
    <row r="143" spans="1:24" s="23" customFormat="1" ht="17" x14ac:dyDescent="0.2">
      <c r="A143" s="10" t="s">
        <v>38</v>
      </c>
      <c r="B143" s="9">
        <v>70241</v>
      </c>
      <c r="C143" s="9" t="s">
        <v>108</v>
      </c>
      <c r="D143" s="9">
        <f t="shared" ref="D143" si="212">IF(C143="fwd",1,-1)</f>
        <v>1</v>
      </c>
      <c r="E143" s="9">
        <v>0</v>
      </c>
      <c r="F143" s="9">
        <f t="shared" ref="F143" si="213">B143+D143*E143</f>
        <v>70241</v>
      </c>
      <c r="G143" s="9">
        <v>70127</v>
      </c>
      <c r="H143" s="9">
        <f t="shared" si="203"/>
        <v>70286</v>
      </c>
      <c r="I143" s="9" t="s">
        <v>567</v>
      </c>
      <c r="J143" s="22" t="s">
        <v>566</v>
      </c>
      <c r="K143" s="23">
        <v>70223</v>
      </c>
      <c r="L143" s="23" t="s">
        <v>175</v>
      </c>
      <c r="M143" s="23" t="s">
        <v>565</v>
      </c>
      <c r="N143" s="9" t="s">
        <v>143</v>
      </c>
      <c r="O143" s="9" t="s">
        <v>143</v>
      </c>
      <c r="P143" s="9" t="s">
        <v>143</v>
      </c>
      <c r="Q143" s="9" t="s">
        <v>143</v>
      </c>
      <c r="R143" s="9">
        <v>70261</v>
      </c>
      <c r="S143" s="9">
        <f>R143+25</f>
        <v>70286</v>
      </c>
      <c r="T143" s="9">
        <f t="shared" ref="T143" si="214">R143-G143</f>
        <v>134</v>
      </c>
      <c r="U143" s="9">
        <f t="shared" ref="U143" si="215">S143-G143</f>
        <v>159</v>
      </c>
      <c r="V143" s="9" t="s">
        <v>573</v>
      </c>
      <c r="W143" s="9" t="s">
        <v>135</v>
      </c>
      <c r="X143" s="9">
        <v>1</v>
      </c>
    </row>
    <row r="144" spans="1:24" s="25" customFormat="1" ht="17" x14ac:dyDescent="0.2">
      <c r="A144" s="13" t="s">
        <v>77</v>
      </c>
      <c r="B144" s="14">
        <v>3731069</v>
      </c>
      <c r="C144" s="14" t="s">
        <v>108</v>
      </c>
      <c r="D144" s="14">
        <f t="shared" si="155"/>
        <v>1</v>
      </c>
      <c r="E144" s="14">
        <v>0</v>
      </c>
      <c r="F144" s="14">
        <f t="shared" si="156"/>
        <v>3731069</v>
      </c>
      <c r="G144" s="14">
        <v>3730955</v>
      </c>
      <c r="H144" s="14">
        <f t="shared" si="203"/>
        <v>3731114</v>
      </c>
      <c r="I144" s="14" t="s">
        <v>578</v>
      </c>
      <c r="J144" s="18" t="s">
        <v>577</v>
      </c>
      <c r="K144" s="25">
        <v>3731069</v>
      </c>
      <c r="M144" s="25" t="s">
        <v>576</v>
      </c>
      <c r="N144" s="14">
        <v>3730978</v>
      </c>
      <c r="O144" s="14">
        <v>3731003</v>
      </c>
      <c r="P144" s="14" t="s">
        <v>579</v>
      </c>
      <c r="Q144" s="14" t="s">
        <v>152</v>
      </c>
      <c r="R144" s="14">
        <f>S144-23</f>
        <v>3730997</v>
      </c>
      <c r="S144" s="14">
        <v>3731020</v>
      </c>
      <c r="T144" s="14">
        <f t="shared" si="199"/>
        <v>42</v>
      </c>
      <c r="U144" s="14">
        <f t="shared" si="202"/>
        <v>65</v>
      </c>
      <c r="V144" s="14" t="s">
        <v>580</v>
      </c>
      <c r="W144" s="14" t="s">
        <v>152</v>
      </c>
      <c r="X144" s="14">
        <v>0</v>
      </c>
    </row>
    <row r="145" spans="1:24" s="25" customFormat="1" ht="17" x14ac:dyDescent="0.2">
      <c r="A145" s="13" t="s">
        <v>77</v>
      </c>
      <c r="B145" s="14">
        <v>3731069</v>
      </c>
      <c r="C145" s="14" t="s">
        <v>108</v>
      </c>
      <c r="D145" s="14">
        <f t="shared" ref="D145:D146" si="216">IF(C145="fwd",1,-1)</f>
        <v>1</v>
      </c>
      <c r="E145" s="14">
        <v>0</v>
      </c>
      <c r="F145" s="14">
        <f t="shared" ref="F145:F146" si="217">B145+D145*E145</f>
        <v>3731069</v>
      </c>
      <c r="G145" s="14">
        <v>3730955</v>
      </c>
      <c r="H145" s="14">
        <f t="shared" si="203"/>
        <v>3731114</v>
      </c>
      <c r="I145" s="14" t="s">
        <v>578</v>
      </c>
      <c r="J145" s="18" t="s">
        <v>577</v>
      </c>
      <c r="K145" s="25">
        <v>3731069</v>
      </c>
      <c r="M145" s="25" t="s">
        <v>576</v>
      </c>
      <c r="N145" s="14">
        <v>3731004</v>
      </c>
      <c r="O145" s="14">
        <v>3731080</v>
      </c>
      <c r="P145" s="14" t="s">
        <v>583</v>
      </c>
      <c r="Q145" s="14" t="s">
        <v>581</v>
      </c>
      <c r="R145" s="14">
        <v>3731040</v>
      </c>
      <c r="S145" s="14">
        <f>R145+40</f>
        <v>3731080</v>
      </c>
      <c r="T145" s="14">
        <f t="shared" ref="T145:T146" si="218">R145-G145</f>
        <v>85</v>
      </c>
      <c r="U145" s="14">
        <f t="shared" ref="U145:U146" si="219">S145-G145</f>
        <v>125</v>
      </c>
      <c r="V145" s="14" t="s">
        <v>582</v>
      </c>
      <c r="W145" s="14" t="s">
        <v>144</v>
      </c>
      <c r="X145" s="14">
        <v>0</v>
      </c>
    </row>
    <row r="146" spans="1:24" s="25" customFormat="1" ht="17" x14ac:dyDescent="0.2">
      <c r="A146" s="13" t="s">
        <v>77</v>
      </c>
      <c r="B146" s="14">
        <v>3731069</v>
      </c>
      <c r="C146" s="14" t="s">
        <v>108</v>
      </c>
      <c r="D146" s="14">
        <f t="shared" si="216"/>
        <v>1</v>
      </c>
      <c r="E146" s="14">
        <v>0</v>
      </c>
      <c r="F146" s="14">
        <f t="shared" si="217"/>
        <v>3731069</v>
      </c>
      <c r="G146" s="14">
        <v>3730955</v>
      </c>
      <c r="H146" s="14">
        <f t="shared" si="203"/>
        <v>3731114</v>
      </c>
      <c r="I146" s="14" t="s">
        <v>578</v>
      </c>
      <c r="J146" s="18" t="s">
        <v>577</v>
      </c>
      <c r="K146" s="25">
        <v>3731069</v>
      </c>
      <c r="M146" s="25" t="s">
        <v>576</v>
      </c>
      <c r="N146" s="14">
        <v>3731081</v>
      </c>
      <c r="O146" s="14">
        <v>3731099</v>
      </c>
      <c r="P146" s="14" t="s">
        <v>585</v>
      </c>
      <c r="Q146" s="14" t="s">
        <v>152</v>
      </c>
      <c r="R146" s="14">
        <v>3731080</v>
      </c>
      <c r="S146" s="14">
        <f>R146+10</f>
        <v>3731090</v>
      </c>
      <c r="T146" s="14">
        <f t="shared" si="218"/>
        <v>125</v>
      </c>
      <c r="U146" s="14">
        <f t="shared" si="219"/>
        <v>135</v>
      </c>
      <c r="V146" s="14" t="s">
        <v>584</v>
      </c>
      <c r="W146" s="14" t="s">
        <v>152</v>
      </c>
      <c r="X146" s="14">
        <v>0</v>
      </c>
    </row>
    <row r="147" spans="1:24" s="23" customFormat="1" ht="17" x14ac:dyDescent="0.2">
      <c r="A147" s="10" t="s">
        <v>84</v>
      </c>
      <c r="B147" s="9">
        <v>3730807</v>
      </c>
      <c r="C147" s="9" t="s">
        <v>118</v>
      </c>
      <c r="D147" s="9">
        <f t="shared" si="155"/>
        <v>-1</v>
      </c>
      <c r="E147" s="9">
        <v>0</v>
      </c>
      <c r="F147" s="9">
        <f t="shared" si="156"/>
        <v>3730807</v>
      </c>
      <c r="G147" s="9">
        <v>3730763</v>
      </c>
      <c r="H147" s="9">
        <f t="shared" si="203"/>
        <v>3730922</v>
      </c>
      <c r="I147" s="9" t="s">
        <v>588</v>
      </c>
      <c r="J147" s="15" t="s">
        <v>587</v>
      </c>
      <c r="K147" s="2">
        <v>3730807</v>
      </c>
      <c r="L147" s="2"/>
      <c r="M147" s="2" t="s">
        <v>586</v>
      </c>
      <c r="N147" s="9"/>
      <c r="O147" s="9"/>
      <c r="P147" s="9"/>
      <c r="Q147" s="9"/>
      <c r="R147" s="9"/>
      <c r="S147" s="9"/>
      <c r="T147" s="9">
        <f t="shared" si="199"/>
        <v>-3730763</v>
      </c>
      <c r="U147" s="9">
        <f t="shared" si="202"/>
        <v>-3730763</v>
      </c>
      <c r="V147" s="9"/>
      <c r="W147" s="9"/>
      <c r="X147" s="9"/>
    </row>
    <row r="148" spans="1:24" x14ac:dyDescent="0.2">
      <c r="A148" s="8" t="s">
        <v>121</v>
      </c>
      <c r="B148" s="3">
        <v>1647934</v>
      </c>
      <c r="C148" s="3" t="s">
        <v>108</v>
      </c>
      <c r="D148" s="3">
        <f t="shared" si="155"/>
        <v>1</v>
      </c>
      <c r="E148" s="3">
        <v>0</v>
      </c>
      <c r="F148" s="3">
        <f t="shared" si="156"/>
        <v>1647934</v>
      </c>
      <c r="G148" s="3">
        <f t="shared" ref="G147:G168" si="220">F148</f>
        <v>1647934</v>
      </c>
      <c r="H148" s="3">
        <f t="shared" si="203"/>
        <v>1648093</v>
      </c>
      <c r="I148" s="3"/>
      <c r="J148" s="3"/>
      <c r="K148" s="3"/>
      <c r="L148" s="3"/>
      <c r="M148" s="3"/>
      <c r="N148" s="3"/>
      <c r="O148" s="3"/>
      <c r="P148" s="3"/>
      <c r="Q148" s="3"/>
      <c r="R148" s="3"/>
      <c r="S148" s="3"/>
      <c r="T148" s="14">
        <f t="shared" si="199"/>
        <v>-1647934</v>
      </c>
      <c r="U148" s="14">
        <f t="shared" si="202"/>
        <v>-1647934</v>
      </c>
      <c r="W148" s="3"/>
      <c r="X148" s="3"/>
    </row>
    <row r="149" spans="1:24" x14ac:dyDescent="0.2">
      <c r="A149" s="8" t="s">
        <v>41</v>
      </c>
      <c r="B149" s="3">
        <v>1647876</v>
      </c>
      <c r="C149" s="3" t="s">
        <v>118</v>
      </c>
      <c r="D149" s="3">
        <f t="shared" si="155"/>
        <v>-1</v>
      </c>
      <c r="E149" s="3">
        <v>0</v>
      </c>
      <c r="F149" s="3">
        <f t="shared" si="156"/>
        <v>1647876</v>
      </c>
      <c r="G149" s="3">
        <f t="shared" si="220"/>
        <v>1647876</v>
      </c>
      <c r="H149" s="3">
        <f t="shared" si="203"/>
        <v>1648035</v>
      </c>
      <c r="I149" s="3"/>
      <c r="J149" s="3"/>
      <c r="K149" s="3"/>
      <c r="L149" s="3"/>
      <c r="M149" s="3"/>
      <c r="N149" s="3"/>
      <c r="O149" s="3"/>
      <c r="P149" s="3"/>
      <c r="Q149" s="3"/>
      <c r="R149" s="3"/>
      <c r="S149" s="3"/>
      <c r="T149" s="14">
        <f t="shared" si="199"/>
        <v>-1647876</v>
      </c>
      <c r="U149" s="14">
        <f t="shared" si="202"/>
        <v>-1647876</v>
      </c>
      <c r="V149" s="3"/>
      <c r="W149" s="3"/>
      <c r="X149" s="3"/>
    </row>
    <row r="150" spans="1:24" x14ac:dyDescent="0.2">
      <c r="A150" s="8" t="s">
        <v>122</v>
      </c>
      <c r="B150" s="3">
        <v>1649597</v>
      </c>
      <c r="C150" s="3" t="s">
        <v>108</v>
      </c>
      <c r="D150" s="3">
        <f t="shared" si="155"/>
        <v>1</v>
      </c>
      <c r="E150" s="3">
        <v>0</v>
      </c>
      <c r="F150" s="3">
        <f t="shared" si="156"/>
        <v>1649597</v>
      </c>
      <c r="G150" s="3">
        <f t="shared" si="220"/>
        <v>1649597</v>
      </c>
      <c r="H150" s="3">
        <f t="shared" si="203"/>
        <v>1649756</v>
      </c>
      <c r="I150" s="3"/>
      <c r="J150" s="3"/>
      <c r="K150" s="3"/>
      <c r="L150" s="3"/>
      <c r="M150" s="3"/>
      <c r="N150" s="3"/>
      <c r="O150" s="3"/>
      <c r="P150" s="3"/>
      <c r="Q150" s="3"/>
      <c r="R150" s="3"/>
      <c r="S150" s="3"/>
      <c r="T150" s="14">
        <f t="shared" si="199"/>
        <v>-1649597</v>
      </c>
      <c r="U150" s="14">
        <f t="shared" si="202"/>
        <v>-1649597</v>
      </c>
      <c r="V150" s="3"/>
      <c r="W150" s="3"/>
      <c r="X150" s="3"/>
    </row>
    <row r="151" spans="1:24" x14ac:dyDescent="0.2">
      <c r="A151" s="8" t="s">
        <v>86</v>
      </c>
      <c r="B151" s="3">
        <v>3536707</v>
      </c>
      <c r="C151" s="3" t="s">
        <v>118</v>
      </c>
      <c r="D151" s="3">
        <f t="shared" si="155"/>
        <v>-1</v>
      </c>
      <c r="E151" s="3">
        <v>0</v>
      </c>
      <c r="F151" s="3">
        <f t="shared" si="156"/>
        <v>3536707</v>
      </c>
      <c r="G151" s="3">
        <f t="shared" si="220"/>
        <v>3536707</v>
      </c>
      <c r="H151" s="3">
        <f t="shared" si="203"/>
        <v>3536866</v>
      </c>
      <c r="I151" s="3"/>
      <c r="J151" s="3"/>
      <c r="K151" s="3"/>
      <c r="L151" s="3"/>
      <c r="M151" s="3"/>
      <c r="N151" s="3"/>
      <c r="O151" s="3"/>
      <c r="P151" s="3"/>
      <c r="Q151" s="3"/>
      <c r="R151" s="3"/>
      <c r="S151" s="3"/>
      <c r="T151" s="14">
        <f t="shared" si="199"/>
        <v>-3536707</v>
      </c>
      <c r="U151" s="14">
        <f t="shared" si="202"/>
        <v>-3536707</v>
      </c>
      <c r="V151" s="3"/>
      <c r="W151" s="3"/>
      <c r="X151" s="3"/>
    </row>
    <row r="152" spans="1:24" x14ac:dyDescent="0.2">
      <c r="A152" s="8" t="s">
        <v>99</v>
      </c>
      <c r="B152" s="3">
        <v>2524910</v>
      </c>
      <c r="C152" s="3" t="s">
        <v>118</v>
      </c>
      <c r="D152" s="3">
        <f t="shared" si="155"/>
        <v>-1</v>
      </c>
      <c r="E152" s="3">
        <v>0</v>
      </c>
      <c r="F152" s="3">
        <f t="shared" si="156"/>
        <v>2524910</v>
      </c>
      <c r="G152" s="3">
        <f t="shared" si="220"/>
        <v>2524910</v>
      </c>
      <c r="H152" s="3">
        <f t="shared" si="203"/>
        <v>2525069</v>
      </c>
      <c r="I152" s="3"/>
      <c r="J152" s="3"/>
      <c r="K152" s="3"/>
      <c r="L152" s="3"/>
      <c r="M152" s="3"/>
      <c r="N152" s="3"/>
      <c r="O152" s="3"/>
      <c r="P152" s="3"/>
      <c r="Q152" s="3"/>
      <c r="R152" s="3"/>
      <c r="S152" s="3"/>
      <c r="T152" s="14">
        <f t="shared" si="199"/>
        <v>-2524910</v>
      </c>
      <c r="U152" s="14">
        <f t="shared" si="202"/>
        <v>-2524910</v>
      </c>
      <c r="V152" s="3"/>
      <c r="W152" s="3"/>
      <c r="X152" s="3"/>
    </row>
    <row r="153" spans="1:24" x14ac:dyDescent="0.2">
      <c r="A153" s="8" t="s">
        <v>80</v>
      </c>
      <c r="B153" s="3">
        <v>3957912</v>
      </c>
      <c r="C153" s="3" t="s">
        <v>108</v>
      </c>
      <c r="D153" s="3">
        <f t="shared" si="155"/>
        <v>1</v>
      </c>
      <c r="E153" s="3">
        <v>0</v>
      </c>
      <c r="F153" s="3">
        <f t="shared" si="156"/>
        <v>3957912</v>
      </c>
      <c r="G153" s="3">
        <f t="shared" si="220"/>
        <v>3957912</v>
      </c>
      <c r="H153" s="3">
        <f t="shared" si="203"/>
        <v>3958071</v>
      </c>
      <c r="I153" s="3"/>
      <c r="J153" s="3"/>
      <c r="K153" s="3"/>
      <c r="L153" s="3"/>
      <c r="M153" s="3"/>
      <c r="N153" s="3"/>
      <c r="O153" s="3"/>
      <c r="P153" s="3"/>
      <c r="Q153" s="3"/>
      <c r="R153" s="3"/>
      <c r="S153" s="3"/>
      <c r="T153" s="14">
        <f t="shared" si="199"/>
        <v>-3957912</v>
      </c>
      <c r="U153" s="14">
        <f t="shared" si="202"/>
        <v>-3957912</v>
      </c>
      <c r="V153" s="3"/>
      <c r="W153" s="3"/>
      <c r="X153" s="3"/>
    </row>
    <row r="154" spans="1:24" x14ac:dyDescent="0.2">
      <c r="A154" s="8" t="s">
        <v>75</v>
      </c>
      <c r="B154" s="3">
        <v>3927129</v>
      </c>
      <c r="C154" s="3" t="s">
        <v>108</v>
      </c>
      <c r="D154" s="3">
        <f t="shared" si="155"/>
        <v>1</v>
      </c>
      <c r="E154" s="3">
        <v>0</v>
      </c>
      <c r="F154" s="3">
        <f t="shared" si="156"/>
        <v>3927129</v>
      </c>
      <c r="G154" s="3">
        <f t="shared" si="220"/>
        <v>3927129</v>
      </c>
      <c r="H154" s="3">
        <f t="shared" si="203"/>
        <v>3927288</v>
      </c>
      <c r="I154" s="3"/>
      <c r="J154" s="3"/>
      <c r="K154" s="3"/>
      <c r="L154" s="3"/>
      <c r="M154" s="3"/>
      <c r="N154" s="3"/>
      <c r="O154" s="3"/>
      <c r="P154" s="3"/>
      <c r="Q154" s="3"/>
      <c r="R154" s="3"/>
      <c r="S154" s="3"/>
      <c r="T154" s="14">
        <f t="shared" si="199"/>
        <v>-3927129</v>
      </c>
      <c r="U154" s="14">
        <f t="shared" si="202"/>
        <v>-3927129</v>
      </c>
      <c r="V154" s="3"/>
      <c r="W154" s="3"/>
      <c r="X154" s="3"/>
    </row>
    <row r="155" spans="1:24" x14ac:dyDescent="0.2">
      <c r="A155" s="8" t="s">
        <v>44</v>
      </c>
      <c r="B155" s="3">
        <v>4494597</v>
      </c>
      <c r="C155" s="3" t="s">
        <v>108</v>
      </c>
      <c r="D155" s="3">
        <f t="shared" si="155"/>
        <v>1</v>
      </c>
      <c r="E155" s="3">
        <v>0</v>
      </c>
      <c r="F155" s="3">
        <f t="shared" si="156"/>
        <v>4494597</v>
      </c>
      <c r="G155" s="3">
        <f t="shared" si="220"/>
        <v>4494597</v>
      </c>
      <c r="H155" s="3">
        <f t="shared" si="203"/>
        <v>4494756</v>
      </c>
      <c r="I155" s="3"/>
      <c r="J155" s="3"/>
      <c r="K155" s="3"/>
      <c r="L155" s="3"/>
      <c r="M155" s="3"/>
      <c r="N155" s="3"/>
      <c r="O155" s="3"/>
      <c r="P155" s="3"/>
      <c r="Q155" s="3"/>
      <c r="R155" s="3"/>
      <c r="S155" s="3"/>
      <c r="T155" s="14">
        <f t="shared" si="199"/>
        <v>-4494597</v>
      </c>
      <c r="U155" s="14">
        <f t="shared" si="202"/>
        <v>-4494597</v>
      </c>
      <c r="V155" s="3"/>
      <c r="W155" s="3"/>
      <c r="X155" s="3"/>
    </row>
    <row r="156" spans="1:24" x14ac:dyDescent="0.2">
      <c r="A156" s="8" t="s">
        <v>42</v>
      </c>
      <c r="B156" s="3">
        <v>246533</v>
      </c>
      <c r="C156" s="3" t="s">
        <v>118</v>
      </c>
      <c r="D156" s="3">
        <f t="shared" si="155"/>
        <v>-1</v>
      </c>
      <c r="E156" s="3">
        <v>0</v>
      </c>
      <c r="F156" s="3">
        <f t="shared" si="156"/>
        <v>246533</v>
      </c>
      <c r="G156" s="3">
        <f t="shared" si="220"/>
        <v>246533</v>
      </c>
      <c r="H156" s="3">
        <f t="shared" si="203"/>
        <v>246692</v>
      </c>
      <c r="I156" s="3"/>
      <c r="J156" s="3"/>
      <c r="K156" s="3"/>
      <c r="L156" s="3"/>
      <c r="M156" s="3"/>
      <c r="N156" s="3"/>
      <c r="O156" s="3"/>
      <c r="P156" s="3"/>
      <c r="Q156" s="3"/>
      <c r="R156" s="3"/>
      <c r="S156" s="3"/>
      <c r="T156" s="14">
        <f t="shared" si="199"/>
        <v>-246533</v>
      </c>
      <c r="U156" s="14">
        <f t="shared" si="202"/>
        <v>-246533</v>
      </c>
      <c r="V156" s="3"/>
      <c r="W156" s="3"/>
      <c r="X156" s="3"/>
    </row>
    <row r="157" spans="1:24" x14ac:dyDescent="0.2">
      <c r="A157" s="8" t="s">
        <v>101</v>
      </c>
      <c r="B157" s="3">
        <v>4591367</v>
      </c>
      <c r="C157" s="3" t="s">
        <v>118</v>
      </c>
      <c r="D157" s="3">
        <f t="shared" si="155"/>
        <v>-1</v>
      </c>
      <c r="E157" s="3">
        <v>0</v>
      </c>
      <c r="F157" s="3">
        <f t="shared" si="156"/>
        <v>4591367</v>
      </c>
      <c r="G157" s="3">
        <f t="shared" si="220"/>
        <v>4591367</v>
      </c>
      <c r="H157" s="3">
        <f t="shared" si="203"/>
        <v>4591526</v>
      </c>
      <c r="I157" s="3"/>
      <c r="J157" s="3"/>
      <c r="K157" s="3"/>
      <c r="L157" s="3"/>
      <c r="M157" s="3"/>
      <c r="N157" s="3"/>
      <c r="O157" s="3"/>
      <c r="P157" s="3"/>
      <c r="Q157" s="3"/>
      <c r="R157" s="3"/>
      <c r="S157" s="3"/>
      <c r="T157" s="14">
        <f t="shared" si="199"/>
        <v>-4591367</v>
      </c>
      <c r="U157" s="14">
        <f t="shared" si="202"/>
        <v>-4591367</v>
      </c>
      <c r="V157" s="3"/>
      <c r="W157" s="3"/>
      <c r="X157" s="3"/>
    </row>
    <row r="158" spans="1:24" x14ac:dyDescent="0.2">
      <c r="A158" s="8" t="s">
        <v>96</v>
      </c>
      <c r="B158" s="3">
        <v>1977302</v>
      </c>
      <c r="C158" s="3" t="s">
        <v>118</v>
      </c>
      <c r="D158" s="3">
        <f t="shared" si="155"/>
        <v>-1</v>
      </c>
      <c r="E158" s="3">
        <v>0</v>
      </c>
      <c r="F158" s="3">
        <f t="shared" si="156"/>
        <v>1977302</v>
      </c>
      <c r="G158" s="3">
        <f t="shared" si="220"/>
        <v>1977302</v>
      </c>
      <c r="H158" s="3">
        <f t="shared" si="203"/>
        <v>1977461</v>
      </c>
      <c r="I158" s="3"/>
      <c r="J158" s="3"/>
      <c r="K158" s="3"/>
      <c r="L158" s="3"/>
      <c r="M158" s="3"/>
      <c r="N158" s="3"/>
      <c r="O158" s="3"/>
      <c r="P158" s="3"/>
      <c r="Q158" s="3"/>
      <c r="R158" s="3"/>
      <c r="S158" s="3"/>
      <c r="T158" s="14">
        <f t="shared" si="199"/>
        <v>-1977302</v>
      </c>
      <c r="U158" s="14">
        <f t="shared" si="202"/>
        <v>-1977302</v>
      </c>
      <c r="V158" s="3"/>
      <c r="W158" s="3"/>
      <c r="X158" s="3"/>
    </row>
    <row r="159" spans="1:24" x14ac:dyDescent="0.2">
      <c r="A159" s="8" t="s">
        <v>58</v>
      </c>
      <c r="B159" s="3">
        <v>933138</v>
      </c>
      <c r="C159" s="3" t="s">
        <v>108</v>
      </c>
      <c r="D159" s="3">
        <f t="shared" si="155"/>
        <v>1</v>
      </c>
      <c r="E159" s="3">
        <v>0</v>
      </c>
      <c r="F159" s="3">
        <f t="shared" si="156"/>
        <v>933138</v>
      </c>
      <c r="G159" s="3">
        <f t="shared" si="220"/>
        <v>933138</v>
      </c>
      <c r="H159" s="3">
        <f t="shared" si="203"/>
        <v>933297</v>
      </c>
      <c r="I159" s="3"/>
      <c r="J159" s="3"/>
      <c r="K159" s="3"/>
      <c r="L159" s="3"/>
      <c r="M159" s="3"/>
      <c r="N159" s="3"/>
      <c r="O159" s="3"/>
      <c r="P159" s="3"/>
      <c r="Q159" s="3"/>
      <c r="R159" s="3"/>
      <c r="S159" s="3"/>
      <c r="T159" s="14">
        <f t="shared" si="199"/>
        <v>-933138</v>
      </c>
      <c r="U159" s="14">
        <f t="shared" si="202"/>
        <v>-933138</v>
      </c>
      <c r="V159" s="3"/>
      <c r="W159" s="3"/>
      <c r="X159" s="3"/>
    </row>
    <row r="160" spans="1:24" x14ac:dyDescent="0.2">
      <c r="A160" s="8" t="s">
        <v>8</v>
      </c>
      <c r="B160" s="3">
        <v>87969</v>
      </c>
      <c r="C160" s="3" t="s">
        <v>108</v>
      </c>
      <c r="D160" s="3">
        <f t="shared" si="155"/>
        <v>1</v>
      </c>
      <c r="E160" s="3">
        <v>22</v>
      </c>
      <c r="F160" s="3">
        <f t="shared" si="156"/>
        <v>87991</v>
      </c>
      <c r="G160" s="3">
        <f t="shared" si="220"/>
        <v>87991</v>
      </c>
      <c r="H160" s="3">
        <f t="shared" si="203"/>
        <v>88150</v>
      </c>
      <c r="I160" s="3"/>
      <c r="J160" s="3"/>
      <c r="K160" s="3"/>
      <c r="L160" s="3"/>
      <c r="M160" s="3"/>
      <c r="N160" s="3"/>
      <c r="O160" s="3"/>
      <c r="P160" s="3"/>
      <c r="Q160" s="3"/>
      <c r="R160" s="3"/>
      <c r="S160" s="3"/>
      <c r="T160" s="14">
        <f t="shared" si="199"/>
        <v>-87991</v>
      </c>
      <c r="U160" s="14">
        <f t="shared" si="202"/>
        <v>-87991</v>
      </c>
      <c r="V160" s="3"/>
      <c r="W160" s="3"/>
      <c r="X160" s="3"/>
    </row>
    <row r="161" spans="1:24" x14ac:dyDescent="0.2">
      <c r="A161" s="8" t="s">
        <v>56</v>
      </c>
      <c r="B161" s="3">
        <v>3997907</v>
      </c>
      <c r="C161" s="3" t="s">
        <v>108</v>
      </c>
      <c r="D161" s="3">
        <f t="shared" si="155"/>
        <v>1</v>
      </c>
      <c r="E161" s="3">
        <v>0</v>
      </c>
      <c r="F161" s="3">
        <f t="shared" si="156"/>
        <v>3997907</v>
      </c>
      <c r="G161" s="3">
        <f t="shared" si="220"/>
        <v>3997907</v>
      </c>
      <c r="H161" s="3">
        <f t="shared" si="203"/>
        <v>3998066</v>
      </c>
      <c r="I161" s="3"/>
      <c r="J161" s="3"/>
      <c r="K161" s="3"/>
      <c r="L161" s="3"/>
      <c r="M161" s="3"/>
      <c r="N161" s="3"/>
      <c r="O161" s="3"/>
      <c r="P161" s="3"/>
      <c r="Q161" s="3"/>
      <c r="R161" s="3"/>
      <c r="S161" s="3"/>
      <c r="T161" s="14">
        <f t="shared" si="199"/>
        <v>-3997907</v>
      </c>
      <c r="U161" s="14">
        <f t="shared" si="202"/>
        <v>-3997907</v>
      </c>
      <c r="V161" s="3"/>
      <c r="W161" s="3"/>
      <c r="X161" s="3"/>
    </row>
    <row r="162" spans="1:24" x14ac:dyDescent="0.2">
      <c r="A162" s="8" t="s">
        <v>103</v>
      </c>
      <c r="B162" s="3">
        <v>4338042</v>
      </c>
      <c r="C162" s="3" t="s">
        <v>118</v>
      </c>
      <c r="D162" s="3">
        <f t="shared" si="155"/>
        <v>-1</v>
      </c>
      <c r="E162" s="3">
        <v>0</v>
      </c>
      <c r="F162" s="3">
        <f t="shared" si="156"/>
        <v>4338042</v>
      </c>
      <c r="G162" s="3">
        <f t="shared" si="220"/>
        <v>4338042</v>
      </c>
      <c r="H162" s="3">
        <f t="shared" si="203"/>
        <v>4338201</v>
      </c>
      <c r="I162" s="3"/>
      <c r="J162" s="3"/>
      <c r="K162" s="3"/>
      <c r="L162" s="3"/>
      <c r="M162" s="3"/>
      <c r="N162" s="3"/>
      <c r="O162" s="3"/>
      <c r="P162" s="3"/>
      <c r="Q162" s="3"/>
      <c r="R162" s="3"/>
      <c r="S162" s="3"/>
      <c r="T162" s="14">
        <f t="shared" si="199"/>
        <v>-4338042</v>
      </c>
      <c r="U162" s="14">
        <f t="shared" si="202"/>
        <v>-4338042</v>
      </c>
      <c r="V162" s="3"/>
      <c r="W162" s="3"/>
      <c r="X162" s="3"/>
    </row>
    <row r="163" spans="1:24" x14ac:dyDescent="0.2">
      <c r="A163" s="8" t="s">
        <v>60</v>
      </c>
      <c r="B163" s="3">
        <v>1942634</v>
      </c>
      <c r="C163" s="3" t="s">
        <v>108</v>
      </c>
      <c r="D163" s="3">
        <f t="shared" si="155"/>
        <v>1</v>
      </c>
      <c r="E163" s="3">
        <v>0</v>
      </c>
      <c r="F163" s="3">
        <f t="shared" si="156"/>
        <v>1942634</v>
      </c>
      <c r="G163" s="3">
        <f t="shared" si="220"/>
        <v>1942634</v>
      </c>
      <c r="H163" s="3">
        <f t="shared" si="203"/>
        <v>1942793</v>
      </c>
      <c r="I163" s="3"/>
      <c r="J163" s="3"/>
      <c r="K163" s="3"/>
      <c r="L163" s="3"/>
      <c r="M163" s="3"/>
      <c r="N163" s="3"/>
      <c r="O163" s="3"/>
      <c r="P163" s="3"/>
      <c r="Q163" s="3"/>
      <c r="R163" s="3"/>
      <c r="S163" s="3"/>
      <c r="T163" s="14">
        <f t="shared" si="199"/>
        <v>-1942634</v>
      </c>
      <c r="U163" s="14">
        <f t="shared" si="202"/>
        <v>-1942634</v>
      </c>
      <c r="V163" s="3"/>
      <c r="W163" s="3"/>
      <c r="X163" s="3"/>
    </row>
    <row r="164" spans="1:24" x14ac:dyDescent="0.2">
      <c r="A164" s="8" t="s">
        <v>59</v>
      </c>
      <c r="B164" s="3">
        <v>1942661</v>
      </c>
      <c r="C164" s="3" t="s">
        <v>118</v>
      </c>
      <c r="D164" s="3">
        <f t="shared" si="155"/>
        <v>-1</v>
      </c>
      <c r="E164" s="3">
        <v>0</v>
      </c>
      <c r="F164" s="3">
        <f t="shared" si="156"/>
        <v>1942661</v>
      </c>
      <c r="G164" s="3">
        <f t="shared" si="220"/>
        <v>1942661</v>
      </c>
      <c r="H164" s="3">
        <f t="shared" si="203"/>
        <v>1942820</v>
      </c>
      <c r="I164" s="3"/>
      <c r="J164" s="3"/>
      <c r="K164" s="3"/>
      <c r="L164" s="3"/>
      <c r="M164" s="3"/>
      <c r="N164" s="3"/>
      <c r="O164" s="3"/>
      <c r="P164" s="3"/>
      <c r="Q164" s="3"/>
      <c r="R164" s="3"/>
      <c r="S164" s="3"/>
      <c r="T164" s="14">
        <f t="shared" si="199"/>
        <v>-1942661</v>
      </c>
      <c r="U164" s="14">
        <f t="shared" si="202"/>
        <v>-1942661</v>
      </c>
      <c r="V164" s="3"/>
      <c r="W164" s="3"/>
      <c r="X164" s="3"/>
    </row>
    <row r="165" spans="1:24" x14ac:dyDescent="0.2">
      <c r="A165" s="8" t="s">
        <v>37</v>
      </c>
      <c r="B165" s="3">
        <v>3182433</v>
      </c>
      <c r="C165" s="3" t="s">
        <v>108</v>
      </c>
      <c r="D165" s="3">
        <f t="shared" si="155"/>
        <v>1</v>
      </c>
      <c r="E165" s="3">
        <v>0</v>
      </c>
      <c r="F165" s="3">
        <f t="shared" si="156"/>
        <v>3182433</v>
      </c>
      <c r="G165" s="3">
        <f t="shared" si="220"/>
        <v>3182433</v>
      </c>
      <c r="H165" s="3">
        <f t="shared" si="203"/>
        <v>3182592</v>
      </c>
      <c r="I165" s="3"/>
      <c r="J165" s="3"/>
      <c r="K165" s="3"/>
      <c r="L165" s="3"/>
      <c r="M165" s="3"/>
      <c r="N165" s="3"/>
      <c r="O165" s="3"/>
      <c r="P165" s="3"/>
      <c r="Q165" s="3"/>
      <c r="R165" s="3"/>
      <c r="S165" s="3"/>
      <c r="T165" s="14">
        <f t="shared" si="199"/>
        <v>-3182433</v>
      </c>
      <c r="U165" s="14">
        <f t="shared" si="202"/>
        <v>-3182433</v>
      </c>
      <c r="V165" s="3"/>
      <c r="W165" s="3"/>
      <c r="X165" s="3"/>
    </row>
    <row r="166" spans="1:24" x14ac:dyDescent="0.2">
      <c r="A166" s="8" t="s">
        <v>19</v>
      </c>
      <c r="B166" s="3">
        <v>3637612</v>
      </c>
      <c r="C166" s="3" t="s">
        <v>108</v>
      </c>
      <c r="D166" s="3">
        <f t="shared" si="155"/>
        <v>1</v>
      </c>
      <c r="E166" s="3">
        <v>0</v>
      </c>
      <c r="F166" s="3">
        <f t="shared" si="156"/>
        <v>3637612</v>
      </c>
      <c r="G166" s="3">
        <f t="shared" si="220"/>
        <v>3637612</v>
      </c>
      <c r="H166" s="3">
        <f t="shared" si="203"/>
        <v>3637771</v>
      </c>
      <c r="I166" s="3"/>
      <c r="J166" s="3"/>
      <c r="K166" s="3"/>
      <c r="L166" s="3"/>
      <c r="M166" s="3"/>
      <c r="N166" s="3"/>
      <c r="O166" s="3"/>
      <c r="P166" s="3"/>
      <c r="Q166" s="3"/>
      <c r="R166" s="3"/>
      <c r="S166" s="3"/>
      <c r="T166" s="14">
        <f t="shared" si="199"/>
        <v>-3637612</v>
      </c>
      <c r="U166" s="14">
        <f t="shared" si="202"/>
        <v>-3637612</v>
      </c>
      <c r="V166" s="3"/>
      <c r="W166" s="3"/>
      <c r="X166" s="3"/>
    </row>
    <row r="167" spans="1:24" x14ac:dyDescent="0.2">
      <c r="A167" s="8" t="s">
        <v>10</v>
      </c>
      <c r="B167" s="3">
        <v>4376509</v>
      </c>
      <c r="C167" s="3" t="s">
        <v>108</v>
      </c>
      <c r="D167" s="3">
        <f t="shared" si="155"/>
        <v>1</v>
      </c>
      <c r="E167" s="3">
        <v>0</v>
      </c>
      <c r="F167" s="3">
        <f t="shared" si="156"/>
        <v>4376509</v>
      </c>
      <c r="G167" s="3">
        <f t="shared" si="220"/>
        <v>4376509</v>
      </c>
      <c r="H167" s="3">
        <f t="shared" si="203"/>
        <v>4376668</v>
      </c>
      <c r="I167" s="3"/>
      <c r="J167" s="3"/>
      <c r="K167" s="3"/>
      <c r="L167" s="3"/>
      <c r="M167" s="3"/>
      <c r="N167" s="3"/>
      <c r="O167" s="3"/>
      <c r="P167" s="3"/>
      <c r="Q167" s="3"/>
      <c r="R167" s="3"/>
      <c r="S167" s="3"/>
      <c r="T167" s="14">
        <f t="shared" si="199"/>
        <v>-4376509</v>
      </c>
      <c r="U167" s="14">
        <f t="shared" si="202"/>
        <v>-4376509</v>
      </c>
      <c r="V167" s="3"/>
      <c r="W167" s="3"/>
      <c r="X167" s="3"/>
    </row>
    <row r="168" spans="1:24" x14ac:dyDescent="0.2">
      <c r="A168" s="8" t="s">
        <v>95</v>
      </c>
      <c r="B168" s="3">
        <v>83735</v>
      </c>
      <c r="C168" s="3" t="s">
        <v>118</v>
      </c>
      <c r="D168" s="3">
        <f t="shared" si="155"/>
        <v>-1</v>
      </c>
      <c r="E168" s="3">
        <v>0</v>
      </c>
      <c r="F168" s="3">
        <f t="shared" si="156"/>
        <v>83735</v>
      </c>
      <c r="G168" s="3">
        <f t="shared" si="220"/>
        <v>83735</v>
      </c>
      <c r="H168" s="3">
        <f t="shared" si="203"/>
        <v>83894</v>
      </c>
      <c r="I168" s="3"/>
      <c r="J168" s="3"/>
      <c r="K168" s="3"/>
      <c r="L168" s="3"/>
      <c r="M168" s="3"/>
      <c r="N168" s="3"/>
      <c r="O168" s="3"/>
      <c r="P168" s="3"/>
      <c r="Q168" s="3"/>
      <c r="R168" s="3"/>
      <c r="S168" s="3"/>
      <c r="T168" s="14">
        <f t="shared" si="199"/>
        <v>-83735</v>
      </c>
      <c r="U168" s="14">
        <f t="shared" si="202"/>
        <v>-83735</v>
      </c>
      <c r="V168" s="3"/>
      <c r="W168" s="3"/>
      <c r="X168" s="3"/>
    </row>
    <row r="172" spans="1:24" x14ac:dyDescent="0.2">
      <c r="W172" s="19" t="s">
        <v>538</v>
      </c>
      <c r="X172" s="19">
        <f>COUNTIF(X2:X168,"=0")</f>
        <v>74</v>
      </c>
    </row>
    <row r="173" spans="1:24" x14ac:dyDescent="0.2">
      <c r="W173" s="19" t="s">
        <v>539</v>
      </c>
      <c r="X173" s="19">
        <f>COUNTIF(X2:X168,"=1")</f>
        <v>61</v>
      </c>
    </row>
    <row r="174" spans="1:24" x14ac:dyDescent="0.2">
      <c r="A174" s="19">
        <f>COUNTA(_xlfn.UNIQUE(A2:A168))</f>
        <v>97</v>
      </c>
      <c r="B174" s="19">
        <f>COUNTA(_xlfn.UNIQUE(I1:I168))</f>
        <v>78</v>
      </c>
      <c r="C174" s="19">
        <f>A174-B174</f>
        <v>19</v>
      </c>
      <c r="W174" s="19" t="s">
        <v>540</v>
      </c>
      <c r="X174" s="19">
        <f>COUNTIF(X2:X168,"=-1")</f>
        <v>9</v>
      </c>
    </row>
    <row r="175" spans="1:24" x14ac:dyDescent="0.2">
      <c r="W175" s="19" t="s">
        <v>541</v>
      </c>
      <c r="X175" s="19">
        <f>X172+X173</f>
        <v>135</v>
      </c>
    </row>
  </sheetData>
  <pageMargins left="0.7" right="0.7" top="0.75" bottom="0.75" header="0.3" footer="0.3"/>
  <pageSetup orientation="portrait" horizontalDpi="0" verticalDpi="0"/>
  <ignoredErrors>
    <ignoredError sqref="H111 O29 G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1" sqref="B11"/>
    </sheetView>
  </sheetViews>
  <sheetFormatPr baseColWidth="10" defaultRowHeight="16" x14ac:dyDescent="0.2"/>
  <cols>
    <col min="2" max="2" width="155.5" bestFit="1" customWidth="1"/>
  </cols>
  <sheetData>
    <row r="1" spans="1:2" x14ac:dyDescent="0.2">
      <c r="A1" t="s">
        <v>136</v>
      </c>
      <c r="B1" t="s">
        <v>137</v>
      </c>
    </row>
    <row r="2" spans="1:2" x14ac:dyDescent="0.2">
      <c r="A2" s="1" t="s">
        <v>138</v>
      </c>
      <c r="B2" t="s">
        <v>159</v>
      </c>
    </row>
    <row r="3" spans="1:2" x14ac:dyDescent="0.2">
      <c r="A3" s="1" t="s">
        <v>91</v>
      </c>
      <c r="B3" t="s">
        <v>160</v>
      </c>
    </row>
    <row r="4" spans="1:2" x14ac:dyDescent="0.2">
      <c r="A4" s="1" t="s">
        <v>40</v>
      </c>
      <c r="B4" t="s">
        <v>161</v>
      </c>
    </row>
    <row r="5" spans="1:2" x14ac:dyDescent="0.2">
      <c r="A5" s="1"/>
    </row>
    <row r="6" spans="1:2" x14ac:dyDescent="0.2">
      <c r="A6" s="1"/>
    </row>
    <row r="7" spans="1:2" x14ac:dyDescent="0.2">
      <c r="A7" s="1"/>
    </row>
    <row r="8" spans="1:2" x14ac:dyDescent="0.2">
      <c r="A8" s="1"/>
    </row>
    <row r="9" spans="1:2" x14ac:dyDescent="0.2">
      <c r="A9" s="1" t="s">
        <v>74</v>
      </c>
      <c r="B9" t="s">
        <v>203</v>
      </c>
    </row>
    <row r="10" spans="1:2" x14ac:dyDescent="0.2">
      <c r="A10" s="1" t="s">
        <v>49</v>
      </c>
      <c r="B10" t="s">
        <v>207</v>
      </c>
    </row>
    <row r="11" spans="1:2" x14ac:dyDescent="0.2">
      <c r="A11" s="1" t="s">
        <v>213</v>
      </c>
      <c r="B11" t="s">
        <v>220</v>
      </c>
    </row>
    <row r="12" spans="1:2" x14ac:dyDescent="0.2">
      <c r="A12" s="1" t="s">
        <v>28</v>
      </c>
      <c r="B12" t="s">
        <v>228</v>
      </c>
    </row>
    <row r="13" spans="1:2" x14ac:dyDescent="0.2">
      <c r="A13" s="1"/>
    </row>
    <row r="14" spans="1:2" x14ac:dyDescent="0.2">
      <c r="A14" s="1"/>
    </row>
    <row r="15" spans="1:2" x14ac:dyDescent="0.2">
      <c r="A15" s="1"/>
    </row>
    <row r="16" spans="1:2" x14ac:dyDescent="0.2">
      <c r="A16" s="1"/>
    </row>
    <row r="17" spans="1:1" x14ac:dyDescent="0.2">
      <c r="A17" s="1"/>
    </row>
    <row r="18" spans="1:1" x14ac:dyDescent="0.2">
      <c r="A18" s="1"/>
    </row>
    <row r="19" spans="1:1" x14ac:dyDescent="0.2">
      <c r="A19" s="1"/>
    </row>
    <row r="20" spans="1:1" x14ac:dyDescent="0.2">
      <c r="A20" s="1"/>
    </row>
    <row r="21" spans="1:1" x14ac:dyDescent="0.2">
      <c r="A21" s="1"/>
    </row>
    <row r="22" spans="1:1" x14ac:dyDescent="0.2">
      <c r="A22" s="1"/>
    </row>
    <row r="23" spans="1:1" x14ac:dyDescent="0.2">
      <c r="A23" s="1"/>
    </row>
    <row r="24" spans="1:1" x14ac:dyDescent="0.2">
      <c r="A24" s="1"/>
    </row>
    <row r="25" spans="1:1" x14ac:dyDescent="0.2">
      <c r="A25" s="1"/>
    </row>
    <row r="26" spans="1:1" x14ac:dyDescent="0.2">
      <c r="A26" s="1"/>
    </row>
    <row r="27" spans="1:1" x14ac:dyDescent="0.2">
      <c r="A27" s="1"/>
    </row>
    <row r="28" spans="1:1" x14ac:dyDescent="0.2">
      <c r="A28" s="1"/>
    </row>
    <row r="29" spans="1:1" x14ac:dyDescent="0.2">
      <c r="A29" s="1"/>
    </row>
    <row r="30" spans="1:1" x14ac:dyDescent="0.2">
      <c r="A30" s="1"/>
    </row>
    <row r="31" spans="1:1" x14ac:dyDescent="0.2">
      <c r="A31" s="1"/>
    </row>
    <row r="32" spans="1:1"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2024-12-12T02:48:53Z</dcterms:modified>
</cp:coreProperties>
</file>