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24226"/>
  <sheets>
    <sheet name="Sheet1" sheetId="1" r:id="rId1"/>
    <sheet name="Data" sheetId="2" r:id="rId2"/>
    <sheet name="Sheet2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1"/>
      <name val="Calibri"/>
    </font>
    <font>
      <sz val="11"/>
      <name val="Calibri"/>
    </font>
  </fonts>
  <fills count="2">
    <fill>
      <patternFill patternType="none">
        <bgColor/>
      </patternFill>
    </fill>
    <fill>
      <patternFill patternType="gray125"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>
    <xf numFmtId="0" fontId="0" fillId="0" borderId="0"/>
  </cellStyleXfs>
  <cellXfs count="4">
    <xf numFmtId="0" fontId="0" fillId="0" borderId="0" xfId="0"/>
    <xf numFmtId="0" fontId="1" fillId="1" borderId="1" xfId="0" applyFont="1" applyFill="1" applyBorder="1"/>
    <xf numFmtId="0" fontId="0" fillId="0" borderId="0" xfId="0"/>
    <xf numFmtId="2" fontId="0" fillId="0" borderId="0" xfId="0" applyNumberFormat="1" applyAlignment="1">
      <alignment horizontal="center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65"/>
  <sheetViews>
    <sheetView workbookViewId="0" rightToLeft="0"/>
  </sheetViews>
  <sheetData>
    <row r="1">
      <c r="A1" s="2" t="str">
        <v>day</v>
      </c>
      <c r="B1" s="2" t="str">
        <v>Time</v>
      </c>
      <c r="C1" s="2" t="str">
        <v>Ligue</v>
      </c>
      <c r="D1" s="2" t="str">
        <v>Game</v>
      </c>
      <c r="E1" s="2" t="str">
        <v>P1</v>
      </c>
      <c r="F1" s="2" t="str">
        <v>X</v>
      </c>
      <c r="G1" s="2" t="str">
        <v>P2</v>
      </c>
    </row>
    <row r="2">
      <c r="A2" s="2" t="str">
        <v>01/05 ВС</v>
      </c>
      <c r="B2" s="2" t="str">
        <v>17:00</v>
      </c>
      <c r="C2" s="2" t="str">
        <v>АНГЛИЯ АНГЛИЯ</v>
      </c>
      <c r="D2" s="2" t="str">
        <v>Тоттенхэм-Лестер</v>
      </c>
      <c r="E2" s="2" t="str">
        <v>1.40</v>
      </c>
      <c r="F2" s="2" t="str">
        <v>5.00</v>
      </c>
      <c r="G2" s="2" t="str">
        <v>8.00</v>
      </c>
    </row>
    <row r="3">
      <c r="A3" s="2" t="str">
        <v>01/05 ВС</v>
      </c>
      <c r="B3" s="2" t="str">
        <v>17:00</v>
      </c>
      <c r="C3" s="2" t="str">
        <v>АНГЛИЯ АНГЛИЯ</v>
      </c>
      <c r="D3" s="2" t="str">
        <v>Эвертон-Челси</v>
      </c>
      <c r="E3" s="2" t="str">
        <v>5.25</v>
      </c>
      <c r="F3" s="2" t="str">
        <v>3.75</v>
      </c>
      <c r="G3" s="2" t="str">
        <v>1.70</v>
      </c>
    </row>
    <row r="4">
      <c r="A4" s="2" t="str">
        <v>01/05 ВС</v>
      </c>
      <c r="B4" s="2" t="str">
        <v>19:30</v>
      </c>
      <c r="C4" s="2" t="str">
        <v>АНГЛИЯ АНГЛИЯ</v>
      </c>
      <c r="D4" s="2" t="str">
        <v>Вест Хэм-Арсенал</v>
      </c>
      <c r="E4" s="2" t="str">
        <v>4.33</v>
      </c>
      <c r="F4" s="2" t="str">
        <v>3.80</v>
      </c>
      <c r="G4" s="2" t="str">
        <v>1.80</v>
      </c>
    </row>
    <row r="5">
      <c r="A5" s="2" t="str">
        <v>01/05 ВС</v>
      </c>
      <c r="B5" s="2" t="str">
        <v>16:00</v>
      </c>
      <c r="C5" s="2" t="str">
        <v>ИСПАНИЯ ИСПАНИЯ</v>
      </c>
      <c r="D5" s="2" t="str">
        <v>Эльче-Осасуна</v>
      </c>
      <c r="E5" s="2" t="str">
        <v>2.80</v>
      </c>
      <c r="F5" s="2" t="str">
        <v>3.20</v>
      </c>
      <c r="G5" s="2" t="str">
        <v>2.70</v>
      </c>
    </row>
    <row r="6">
      <c r="A6" s="2" t="str">
        <v>01/05 ВС</v>
      </c>
      <c r="B6" s="2" t="str">
        <v>18:15</v>
      </c>
      <c r="C6" s="2" t="str">
        <v>ИСПАНИЯ ИСПАНИЯ</v>
      </c>
      <c r="D6" s="2" t="str">
        <v>Гранада-Сельта</v>
      </c>
      <c r="E6" s="2" t="str">
        <v>2.80</v>
      </c>
      <c r="F6" s="2" t="str">
        <v>3.20</v>
      </c>
      <c r="G6" s="2" t="str">
        <v>2.62</v>
      </c>
    </row>
    <row r="7">
      <c r="A7" s="2" t="str">
        <v>01/05 ВС</v>
      </c>
      <c r="B7" s="2" t="str">
        <v>20:30</v>
      </c>
      <c r="C7" s="2" t="str">
        <v>ИСПАНИЯ ИСПАНИЯ</v>
      </c>
      <c r="D7" s="2" t="str">
        <v>Райо Вальекано-Реал Сосьедад</v>
      </c>
      <c r="E7" s="2" t="str">
        <v>3.40</v>
      </c>
      <c r="F7" s="2" t="str">
        <v>3.10</v>
      </c>
      <c r="G7" s="2" t="str">
        <v>2.30</v>
      </c>
    </row>
    <row r="8">
      <c r="A8" s="2" t="str">
        <v>01/05 ВС</v>
      </c>
      <c r="B8" s="2" t="str">
        <v>23:00</v>
      </c>
      <c r="C8" s="2" t="str">
        <v>ИСПАНИЯ ИСПАНИЯ</v>
      </c>
      <c r="D8" s="2" t="str">
        <v>Барселона-Мальорка</v>
      </c>
      <c r="E8" s="2" t="str">
        <v>1.28</v>
      </c>
      <c r="F8" s="2" t="str">
        <v>5.75</v>
      </c>
      <c r="G8" s="2" t="str">
        <v>9.50</v>
      </c>
    </row>
    <row r="9">
      <c r="A9" s="2" t="str">
        <v>01/05 ВС</v>
      </c>
      <c r="B9" s="2" t="str">
        <v>14:30</v>
      </c>
      <c r="C9" s="2" t="str">
        <v>ИТАЛИЯ ИТАЛИЯ</v>
      </c>
      <c r="D9" s="2" t="str">
        <v>Ювентус-Венеция</v>
      </c>
      <c r="E9" s="2" t="str">
        <v>1.20</v>
      </c>
      <c r="F9" s="2" t="str">
        <v>6.50</v>
      </c>
      <c r="G9" s="2" t="str">
        <v>15.00</v>
      </c>
    </row>
    <row r="10">
      <c r="A10" s="2" t="str">
        <v>01/05 ВС</v>
      </c>
      <c r="B10" s="2" t="str">
        <v>17:00</v>
      </c>
      <c r="C10" s="2" t="str">
        <v>ИТАЛИЯ ИТАЛИЯ</v>
      </c>
      <c r="D10" s="2" t="str">
        <v>Милан-Фиорентина</v>
      </c>
      <c r="E10" s="2" t="str">
        <v>1.61</v>
      </c>
      <c r="F10" s="2" t="str">
        <v>4.00</v>
      </c>
      <c r="G10" s="2" t="str">
        <v>5.50</v>
      </c>
    </row>
    <row r="11">
      <c r="A11" s="2" t="str">
        <v>01/05 ВС</v>
      </c>
      <c r="B11" s="2" t="str">
        <v>17:00</v>
      </c>
      <c r="C11" s="2" t="str">
        <v>ИТАЛИЯ ИТАЛИЯ</v>
      </c>
      <c r="D11" s="2" t="str">
        <v>Эмполи-Торино</v>
      </c>
      <c r="E11" s="2" t="str">
        <v>2.75</v>
      </c>
      <c r="F11" s="2" t="str">
        <v>3.40</v>
      </c>
      <c r="G11" s="2" t="str">
        <v>2.55</v>
      </c>
    </row>
    <row r="12">
      <c r="A12" s="2" t="str">
        <v>01/05 ВС</v>
      </c>
      <c r="B12" s="2" t="str">
        <v>20:00</v>
      </c>
      <c r="C12" s="2" t="str">
        <v>ИТАЛИЯ ИТАЛИЯ</v>
      </c>
      <c r="D12" s="2" t="str">
        <v>Удинезе-Интер</v>
      </c>
      <c r="E12" s="2" t="str">
        <v>6.00</v>
      </c>
      <c r="F12" s="2" t="str">
        <v>4.20</v>
      </c>
      <c r="G12" s="2" t="str">
        <v>1.55</v>
      </c>
    </row>
    <row r="13">
      <c r="A13" s="2" t="str">
        <v>01/05 ВС</v>
      </c>
      <c r="B13" s="2" t="str">
        <v>22:45</v>
      </c>
      <c r="C13" s="2" t="str">
        <v>ИТАЛИЯ ИТАЛИЯ</v>
      </c>
      <c r="D13" s="2" t="str">
        <v>Рома-Болонья</v>
      </c>
      <c r="E13" s="2" t="str">
        <v>1.50</v>
      </c>
      <c r="F13" s="2" t="str">
        <v>4.50</v>
      </c>
      <c r="G13" s="2" t="str">
        <v>6.00</v>
      </c>
    </row>
    <row r="14">
      <c r="A14" s="2" t="str">
        <v>01/05 ВС</v>
      </c>
      <c r="B14" s="2" t="str">
        <v>14:15</v>
      </c>
      <c r="C14" s="2" t="str">
        <v>НИДЕРЛАНДЫ НИДЕРЛАНДЫ</v>
      </c>
      <c r="D14" s="2" t="str">
        <v>Херенвен-Камбур</v>
      </c>
      <c r="E14" s="2" t="str">
        <v>1.75</v>
      </c>
      <c r="F14" s="2" t="str">
        <v>4.00</v>
      </c>
      <c r="G14" s="2" t="str">
        <v>4.20</v>
      </c>
    </row>
    <row r="15">
      <c r="A15" s="2" t="str">
        <v>01/05 ВС</v>
      </c>
      <c r="B15" s="2" t="str">
        <v>16:30</v>
      </c>
      <c r="C15" s="2" t="str">
        <v>НИДЕРЛАНДЫ НИДЕРЛАНДЫ</v>
      </c>
      <c r="D15" s="2" t="str">
        <v>Гоу Эхед Иглс-Витесс</v>
      </c>
      <c r="E15" s="2" t="str">
        <v>2.87</v>
      </c>
      <c r="F15" s="2" t="str">
        <v>3.50</v>
      </c>
      <c r="G15" s="2" t="str">
        <v>2.37</v>
      </c>
    </row>
    <row r="16">
      <c r="A16" s="2" t="str">
        <v>01/05 ВС</v>
      </c>
      <c r="B16" s="2" t="str">
        <v>16:30</v>
      </c>
      <c r="C16" s="2" t="str">
        <v>НИДЕРЛАНДЫ НИДЕРЛАНДЫ</v>
      </c>
      <c r="D16" s="2" t="str">
        <v>ПСВ-Виллем II</v>
      </c>
      <c r="E16" s="2" t="str">
        <v>1.14</v>
      </c>
      <c r="F16" s="2" t="str">
        <v>8.00</v>
      </c>
      <c r="G16" s="2" t="str">
        <v>17.00</v>
      </c>
    </row>
    <row r="17">
      <c r="A17" s="2" t="str">
        <v>01/05 ВС</v>
      </c>
      <c r="B17" s="2" t="str">
        <v>18:45</v>
      </c>
      <c r="C17" s="2" t="str">
        <v>НИДЕРЛАНДЫ НИДЕРЛАНДЫ</v>
      </c>
      <c r="D17" s="2" t="str">
        <v>Фортуна-Фейеноорд</v>
      </c>
      <c r="E17" s="2" t="str">
        <v>7.50</v>
      </c>
      <c r="F17" s="2" t="str">
        <v>4.50</v>
      </c>
      <c r="G17" s="2" t="str">
        <v>1.40</v>
      </c>
    </row>
    <row r="18">
      <c r="A18" s="2" t="str">
        <v>01/05 ВС</v>
      </c>
      <c r="B18" s="2" t="str">
        <v>22:00</v>
      </c>
      <c r="C18" s="2" t="str">
        <v>НИДЕРЛАНДЫ НИДЕРЛАНДЫ</v>
      </c>
      <c r="D18" s="2" t="str">
        <v>Валвейк-Гронинген</v>
      </c>
      <c r="E18" s="2" t="str">
        <v>2.75</v>
      </c>
      <c r="F18" s="2" t="str">
        <v>3.40</v>
      </c>
      <c r="G18" s="2" t="str">
        <v>2.55</v>
      </c>
    </row>
    <row r="19">
      <c r="A19" s="2" t="str">
        <v>01/05 ВС</v>
      </c>
      <c r="B19" s="2" t="str">
        <v>15:00</v>
      </c>
      <c r="C19" s="2" t="str">
        <v>РОССИЯ РОССИЯ</v>
      </c>
      <c r="D19" s="2" t="str">
        <v>Спартак Москва-Крылья Советов</v>
      </c>
      <c r="E19" s="2" t="str">
        <v>-</v>
      </c>
      <c r="F19" s="2" t="str">
        <v>-</v>
      </c>
      <c r="G19" s="2" t="str">
        <v>-</v>
      </c>
    </row>
    <row r="20">
      <c r="A20" s="2" t="str">
        <v>01/05 ВС</v>
      </c>
      <c r="B20" s="2" t="str">
        <v>17:30</v>
      </c>
      <c r="C20" s="2" t="str">
        <v>РОССИЯ РОССИЯ</v>
      </c>
      <c r="D20" s="2" t="str">
        <v>Химки-Уфа</v>
      </c>
      <c r="E20" s="2" t="str">
        <v>-</v>
      </c>
      <c r="F20" s="2" t="str">
        <v>-</v>
      </c>
      <c r="G20" s="2" t="str">
        <v>-</v>
      </c>
    </row>
    <row r="21">
      <c r="A21" s="2" t="str">
        <v>01/05 ВС</v>
      </c>
      <c r="B21" s="2" t="str">
        <v>20:00</v>
      </c>
      <c r="C21" s="2" t="str">
        <v>РОССИЯ РОССИЯ</v>
      </c>
      <c r="D21" s="2" t="str">
        <v>Ахмат-ЦСКА</v>
      </c>
      <c r="E21" s="2" t="str">
        <v>-</v>
      </c>
      <c r="F21" s="2" t="str">
        <v>-</v>
      </c>
      <c r="G21" s="2" t="str">
        <v>-</v>
      </c>
    </row>
    <row r="22">
      <c r="A22" s="2" t="str">
        <v>01/05 ВС</v>
      </c>
      <c r="B22" s="2" t="str">
        <v>15:00</v>
      </c>
      <c r="C22" s="2" t="str">
        <v>ФРАНЦИЯ ФРАНЦИЯ</v>
      </c>
      <c r="D22" s="2" t="str">
        <v>Труа-Лилль</v>
      </c>
      <c r="E22" s="2" t="str">
        <v>3.60</v>
      </c>
      <c r="F22" s="2" t="str">
        <v>3.25</v>
      </c>
      <c r="G22" s="2" t="str">
        <v>2.15</v>
      </c>
    </row>
    <row r="23">
      <c r="A23" s="2" t="str">
        <v>01/05 ВС</v>
      </c>
      <c r="B23" s="2" t="str">
        <v>17:00</v>
      </c>
      <c r="C23" s="2" t="str">
        <v>ФРАНЦИЯ ФРАНЦИЯ</v>
      </c>
      <c r="D23" s="2" t="str">
        <v>Брест-Клермон</v>
      </c>
      <c r="E23" s="2" t="str">
        <v>2.30</v>
      </c>
      <c r="F23" s="2" t="str">
        <v>3.40</v>
      </c>
      <c r="G23" s="2" t="str">
        <v>3.10</v>
      </c>
    </row>
    <row r="24">
      <c r="A24" s="2" t="str">
        <v>01/05 ВС</v>
      </c>
      <c r="B24" s="2" t="str">
        <v>17:00</v>
      </c>
      <c r="C24" s="2" t="str">
        <v>ФРАНЦИЯ ФРАНЦИЯ</v>
      </c>
      <c r="D24" s="2" t="str">
        <v>Лорьян-Реймс</v>
      </c>
      <c r="E24" s="2" t="str">
        <v>2.25</v>
      </c>
      <c r="F24" s="2" t="str">
        <v>3.20</v>
      </c>
      <c r="G24" s="2" t="str">
        <v>3.40</v>
      </c>
    </row>
    <row r="25">
      <c r="A25" s="2" t="str">
        <v>01/05 ВС</v>
      </c>
      <c r="B25" s="2" t="str">
        <v>17:00</v>
      </c>
      <c r="C25" s="2" t="str">
        <v>ФРАНЦИЯ ФРАНЦИЯ</v>
      </c>
      <c r="D25" s="2" t="str">
        <v>Монако-Анже</v>
      </c>
      <c r="E25" s="2" t="str">
        <v>1.40</v>
      </c>
      <c r="F25" s="2" t="str">
        <v>4.75</v>
      </c>
      <c r="G25" s="2" t="str">
        <v>8.00</v>
      </c>
    </row>
    <row r="26">
      <c r="A26" s="2" t="str">
        <v>01/05 ВС</v>
      </c>
      <c r="B26" s="2" t="str">
        <v>17:00</v>
      </c>
      <c r="C26" s="2" t="str">
        <v>ФРАНЦИЯ ФРАНЦИЯ</v>
      </c>
      <c r="D26" s="2" t="str">
        <v>Монпелье-Мец</v>
      </c>
      <c r="E26" s="2" t="str">
        <v>1.70</v>
      </c>
      <c r="F26" s="2" t="str">
        <v>3.75</v>
      </c>
      <c r="G26" s="2" t="str">
        <v>5.00</v>
      </c>
    </row>
    <row r="27">
      <c r="A27" s="2" t="str">
        <v>01/05 ВС</v>
      </c>
      <c r="B27" s="2" t="str">
        <v>19:05</v>
      </c>
      <c r="C27" s="2" t="str">
        <v>ФРАНЦИЯ ФРАНЦИЯ</v>
      </c>
      <c r="D27" s="2" t="str">
        <v>Бордо-Ницца</v>
      </c>
      <c r="E27" s="2" t="str">
        <v>3.75</v>
      </c>
      <c r="F27" s="2" t="str">
        <v>3.60</v>
      </c>
      <c r="G27" s="2" t="str">
        <v>1.95</v>
      </c>
    </row>
    <row r="28">
      <c r="A28" s="2" t="str">
        <v>01/05 ВС</v>
      </c>
      <c r="B28" s="2" t="str">
        <v>22:45</v>
      </c>
      <c r="C28" s="2" t="str">
        <v>ФРАНЦИЯ ФРАНЦИЯ</v>
      </c>
      <c r="D28" s="2" t="str">
        <v>Марсель-Лион</v>
      </c>
      <c r="E28" s="2" t="str">
        <v>2.25</v>
      </c>
      <c r="F28" s="2" t="str">
        <v>3.50</v>
      </c>
      <c r="G28" s="2" t="str">
        <v>3.00</v>
      </c>
    </row>
    <row r="29">
      <c r="A29" s="2" t="str">
        <v>01/05 ВС</v>
      </c>
      <c r="B29" s="2" t="str">
        <v>10:05</v>
      </c>
      <c r="C29" s="2" t="str">
        <v>АВСТРАЛИЯ АВСТРАЛИЯ</v>
      </c>
      <c r="D29" s="2" t="str">
        <v>Макартур-Ньюкасл Джетс</v>
      </c>
      <c r="E29" s="2" t="str">
        <v>2.20</v>
      </c>
      <c r="F29" s="2" t="str">
        <v>3.40</v>
      </c>
      <c r="G29" s="2" t="str">
        <v>3.30</v>
      </c>
    </row>
    <row r="30">
      <c r="A30" s="2" t="str">
        <v>01/05 ВС</v>
      </c>
      <c r="B30" s="2" t="str">
        <v>09:00</v>
      </c>
      <c r="C30" s="2" t="str">
        <v>АВСТРАЛИЯ АВСТРАЛИЯ</v>
      </c>
      <c r="D30" s="2" t="str">
        <v>Гангалин-Канберра Хорватия</v>
      </c>
      <c r="E30" s="2" t="str">
        <v>-</v>
      </c>
      <c r="F30" s="2" t="str">
        <v>-</v>
      </c>
      <c r="G30" s="2" t="str">
        <v>-</v>
      </c>
    </row>
    <row r="31">
      <c r="A31" s="2" t="str">
        <v>01/05 ВС</v>
      </c>
      <c r="B31" s="2" t="str">
        <v>08:00</v>
      </c>
      <c r="C31" s="2" t="str">
        <v>АВСТРАЛИЯ АВСТРАЛИЯ</v>
      </c>
      <c r="D31" s="2" t="str">
        <v>Валентайн-Лэмбтон Джаффас</v>
      </c>
      <c r="E31" s="2" t="str">
        <v>-</v>
      </c>
      <c r="F31" s="2" t="str">
        <v>-</v>
      </c>
      <c r="G31" s="2" t="str">
        <v>-</v>
      </c>
    </row>
    <row r="32">
      <c r="A32" s="2" t="str">
        <v>01/05 ВС</v>
      </c>
      <c r="B32" s="2" t="str">
        <v>08:00</v>
      </c>
      <c r="C32" s="2" t="str">
        <v>АВСТРАЛИЯ АВСТРАЛИЯ</v>
      </c>
      <c r="D32" s="2" t="str">
        <v>Лэйк-Макуаир-Эджуорт Иглз</v>
      </c>
      <c r="E32" s="2" t="str">
        <v>-</v>
      </c>
      <c r="F32" s="2" t="str">
        <v>-</v>
      </c>
      <c r="G32" s="2" t="str">
        <v>-</v>
      </c>
    </row>
    <row r="33">
      <c r="A33" s="2" t="str">
        <v>01/05 ВС</v>
      </c>
      <c r="B33" s="2" t="str">
        <v>09:00</v>
      </c>
      <c r="C33" s="2" t="str">
        <v>АВСТРАЛИЯ АВСТРАЛИЯ</v>
      </c>
      <c r="D33" s="2" t="str">
        <v>Блэктаун Сити-Сазерланд Шаркс</v>
      </c>
      <c r="E33" s="2" t="str">
        <v>-</v>
      </c>
      <c r="F33" s="2" t="str">
        <v>-</v>
      </c>
      <c r="G33" s="2" t="str">
        <v>-</v>
      </c>
    </row>
    <row r="34">
      <c r="A34" s="2" t="str">
        <v>01/05 ВС</v>
      </c>
      <c r="B34" s="2" t="str">
        <v>09:00</v>
      </c>
      <c r="C34" s="2" t="str">
        <v>АВСТРАЛИЯ АВСТРАЛИЯ</v>
      </c>
      <c r="D34" s="2" t="str">
        <v>Сидней Юнайтед-ФК Сидней U21</v>
      </c>
      <c r="E34" s="2" t="str">
        <v>-</v>
      </c>
      <c r="F34" s="2" t="str">
        <v>-</v>
      </c>
      <c r="G34" s="2" t="str">
        <v>-</v>
      </c>
    </row>
    <row r="35">
      <c r="A35" s="2" t="str">
        <v>01/05 ВС</v>
      </c>
      <c r="B35" s="2" t="str">
        <v>10:00</v>
      </c>
      <c r="C35" s="2" t="str">
        <v>АВСТРАЛИЯ АВСТРАЛИЯ</v>
      </c>
      <c r="D35" s="2" t="str">
        <v>Rockdale Ilinden-Нортбридж Буллс</v>
      </c>
      <c r="E35" s="2" t="str">
        <v>-</v>
      </c>
      <c r="F35" s="2" t="str">
        <v>-</v>
      </c>
      <c r="G35" s="2" t="str">
        <v>-</v>
      </c>
    </row>
    <row r="36">
      <c r="A36" s="2" t="str">
        <v>01/05 ВС</v>
      </c>
      <c r="B36" s="2" t="str">
        <v>11:15</v>
      </c>
      <c r="C36" s="2" t="str">
        <v>АВСТРАЛИЯ АВСТРАЛИЯ</v>
      </c>
      <c r="D36" s="2" t="str">
        <v>Сидней Олимпик-АПИА Лейхгардт</v>
      </c>
      <c r="E36" s="2" t="str">
        <v>-</v>
      </c>
      <c r="F36" s="2" t="str">
        <v>-</v>
      </c>
      <c r="G36" s="2" t="str">
        <v>-</v>
      </c>
    </row>
    <row r="37">
      <c r="A37" s="2" t="str">
        <v>01/05 ВС</v>
      </c>
      <c r="B37" s="2" t="str">
        <v>12:00</v>
      </c>
      <c r="C37" s="2" t="str">
        <v>АВСТРАЛИЯ АВСТРАЛИЯ</v>
      </c>
      <c r="D37" s="2" t="str">
        <v>Олимпик ФК-Пенинсула</v>
      </c>
      <c r="E37" s="2" t="str">
        <v>-</v>
      </c>
      <c r="F37" s="2" t="str">
        <v>-</v>
      </c>
      <c r="G37" s="2" t="str">
        <v>-</v>
      </c>
    </row>
    <row r="38">
      <c r="A38" s="2" t="str">
        <v>01/05 ВС</v>
      </c>
      <c r="B38" s="2" t="str">
        <v>09:00</v>
      </c>
      <c r="C38" s="2" t="str">
        <v>АВСТРАЛИЯ АВСТРАЛИЯ</v>
      </c>
      <c r="D38" s="2" t="str">
        <v>Аделаида U21-Уайт Сити</v>
      </c>
      <c r="E38" s="2" t="str">
        <v>-</v>
      </c>
      <c r="F38" s="2" t="str">
        <v>-</v>
      </c>
      <c r="G38" s="2" t="str">
        <v>-</v>
      </c>
    </row>
    <row r="39">
      <c r="A39" s="2" t="str">
        <v>01/05 ВС</v>
      </c>
      <c r="B39" s="2" t="str">
        <v>09:00</v>
      </c>
      <c r="C39" s="2" t="str">
        <v>АВСТРАЛИЯ АВСТРАЛИЯ</v>
      </c>
      <c r="D39" s="2" t="str">
        <v>Сент Олбанс-Данденонг</v>
      </c>
      <c r="E39" s="2" t="str">
        <v>-</v>
      </c>
      <c r="F39" s="2" t="str">
        <v>-</v>
      </c>
      <c r="G39" s="2" t="str">
        <v>-</v>
      </c>
    </row>
    <row r="40">
      <c r="A40" s="2" t="str">
        <v>01/05 ВС</v>
      </c>
      <c r="B40" s="2" t="str">
        <v>17:00</v>
      </c>
      <c r="C40" s="2" t="str">
        <v>АВСТРИЯ АВСТРИЯ</v>
      </c>
      <c r="D40" s="2" t="str">
        <v>Ротис-Дорнбирнер СВ</v>
      </c>
      <c r="E40" s="2" t="str">
        <v>-</v>
      </c>
      <c r="F40" s="2" t="str">
        <v>-</v>
      </c>
      <c r="G40" s="2" t="str">
        <v>-</v>
      </c>
    </row>
    <row r="41">
      <c r="A41" s="2" t="str">
        <v>01/05 ВС</v>
      </c>
      <c r="B41" s="2" t="str">
        <v>17:00</v>
      </c>
      <c r="C41" s="2" t="str">
        <v>АВСТРИЯ АВСТРИЯ</v>
      </c>
      <c r="D41" s="2" t="str">
        <v>Телфс-Аустрия Зальцбург</v>
      </c>
      <c r="E41" s="2" t="str">
        <v>-</v>
      </c>
      <c r="F41" s="2" t="str">
        <v>-</v>
      </c>
      <c r="G41" s="2" t="str">
        <v>-</v>
      </c>
    </row>
    <row r="42">
      <c r="A42" s="2" t="str">
        <v>01/05 ВС</v>
      </c>
      <c r="B42" s="2" t="str">
        <v>19:00</v>
      </c>
      <c r="C42" s="2" t="str">
        <v>АВСТРИЯ АВСТРИЯ</v>
      </c>
      <c r="D42" s="2" t="str">
        <v>Зальцбург-Рид</v>
      </c>
      <c r="E42" s="2" t="str">
        <v>1.20</v>
      </c>
      <c r="F42" s="2" t="str">
        <v>8.00</v>
      </c>
      <c r="G42" s="2" t="str">
        <v>11.00</v>
      </c>
    </row>
    <row r="43">
      <c r="A43" s="2" t="str">
        <v>01/05 ВС</v>
      </c>
      <c r="B43" s="2" t="str">
        <v>12:30</v>
      </c>
      <c r="C43" s="2" t="str">
        <v>АВСТРИЯ АВСТРИЯ</v>
      </c>
      <c r="D43" s="2" t="str">
        <v>Аустрия (Ж)-Альтах/Фордерланд (Ж)</v>
      </c>
      <c r="E43" s="2" t="str">
        <v>-</v>
      </c>
      <c r="F43" s="2" t="str">
        <v>-</v>
      </c>
      <c r="G43" s="2" t="str">
        <v>-</v>
      </c>
    </row>
    <row r="44">
      <c r="A44" s="2" t="str">
        <v>01/05 ВС</v>
      </c>
      <c r="B44" s="2" t="str">
        <v>13:00</v>
      </c>
      <c r="C44" s="2" t="str">
        <v>АВСТРИЯ АВСТРИЯ</v>
      </c>
      <c r="D44" s="2" t="str">
        <v>Судбюргенланд (Ж)-Вакер Инсбрук (Ж)</v>
      </c>
      <c r="E44" s="2" t="str">
        <v>-</v>
      </c>
      <c r="F44" s="2" t="str">
        <v>-</v>
      </c>
      <c r="G44" s="2" t="str">
        <v>-</v>
      </c>
    </row>
    <row r="45">
      <c r="A45" s="2" t="str">
        <v>01/05 ВС</v>
      </c>
      <c r="B45" s="2" t="str">
        <v>14:45</v>
      </c>
      <c r="C45" s="2" t="str">
        <v>АВСТРИЯ АВСТРИЯ</v>
      </c>
      <c r="D45" s="2" t="str">
        <v>Нойленгбах (Ж)-Альтенмаркт (Ж)</v>
      </c>
      <c r="E45" s="2" t="str">
        <v>-</v>
      </c>
      <c r="F45" s="2" t="str">
        <v>-</v>
      </c>
      <c r="G45" s="2" t="str">
        <v>-</v>
      </c>
    </row>
    <row r="46">
      <c r="A46" s="2" t="str">
        <v>01/05 ВС</v>
      </c>
      <c r="B46" s="2" t="str">
        <v>16:00</v>
      </c>
      <c r="C46" s="2" t="str">
        <v>АЗЕРБАЙДЖАН АЗЕРБАЙДЖАН</v>
      </c>
      <c r="D46" s="2" t="str">
        <v>Нефтчи 2-Зира 2</v>
      </c>
      <c r="E46" s="2" t="str">
        <v>-</v>
      </c>
      <c r="F46" s="2" t="str">
        <v>-</v>
      </c>
      <c r="G46" s="2" t="str">
        <v>-</v>
      </c>
    </row>
    <row r="47">
      <c r="A47" s="2" t="str">
        <v>01/05 ВС</v>
      </c>
      <c r="B47" s="2" t="str">
        <v>16:00</v>
      </c>
      <c r="C47" s="2" t="str">
        <v>АЗЕРБАЙДЖАН АЗЕРБАЙДЖАН</v>
      </c>
      <c r="D47" s="2" t="str">
        <v>Сумгаит 2-Загатала</v>
      </c>
      <c r="E47" s="2" t="str">
        <v>-</v>
      </c>
      <c r="F47" s="2" t="str">
        <v>-</v>
      </c>
      <c r="G47" s="2" t="str">
        <v>-</v>
      </c>
    </row>
    <row r="48">
      <c r="A48" s="2" t="str">
        <v>01/05 ВС</v>
      </c>
      <c r="B48" s="2" t="str">
        <v>16:00</v>
      </c>
      <c r="C48" s="2" t="str">
        <v>АЗЕРБАЙДЖАН АЗЕРБАЙДЖАН</v>
      </c>
      <c r="D48" s="2" t="str">
        <v>Шамахи 2-Сабаил 2</v>
      </c>
      <c r="E48" s="2" t="str">
        <v>-</v>
      </c>
      <c r="F48" s="2" t="str">
        <v>-</v>
      </c>
      <c r="G48" s="2" t="str">
        <v>-</v>
      </c>
    </row>
    <row r="49">
      <c r="A49" s="2" t="str">
        <v>01/05 ВС</v>
      </c>
      <c r="B49" s="2" t="str">
        <v>15:00</v>
      </c>
      <c r="C49" s="2" t="str">
        <v>АЗИЯ АЗИЯ</v>
      </c>
      <c r="D49" s="2" t="str">
        <v>Китчи (Гоо)-Кобе (Япо)</v>
      </c>
      <c r="E49" s="2" t="str">
        <v>-</v>
      </c>
      <c r="F49" s="2" t="str">
        <v>-</v>
      </c>
      <c r="G49" s="2" t="str">
        <v>-</v>
      </c>
    </row>
    <row r="50">
      <c r="A50" s="2" t="str">
        <v>01/05 ВС</v>
      </c>
      <c r="B50" s="2" t="str">
        <v>15:00</v>
      </c>
      <c r="C50" s="2" t="str">
        <v>АЗИЯ АЗИЯ</v>
      </c>
      <c r="D50" s="2" t="str">
        <v>Хоангань Зялай (Вье)-ФК Сидней (Авс)</v>
      </c>
      <c r="E50" s="2" t="str">
        <v>-</v>
      </c>
      <c r="F50" s="2" t="str">
        <v>-</v>
      </c>
      <c r="G50" s="2" t="str">
        <v>-</v>
      </c>
    </row>
    <row r="51">
      <c r="A51" s="2" t="str">
        <v>01/05 ВС</v>
      </c>
      <c r="B51" s="2" t="str">
        <v>Отменен</v>
      </c>
      <c r="C51" s="2" t="str">
        <v>АЗИЯ АЗИЯ</v>
      </c>
      <c r="D51" s="2" t="str">
        <v>Шанхай Порт (Кит)-Чианграй Юнайтед (Таи)</v>
      </c>
      <c r="E51" s="2" t="str">
        <v>-</v>
      </c>
      <c r="F51" s="2" t="str">
        <v>-</v>
      </c>
      <c r="G51" s="2" t="str">
        <v>-</v>
      </c>
    </row>
    <row r="52">
      <c r="A52" s="2" t="str">
        <v>01/05 ВС</v>
      </c>
      <c r="B52" s="2" t="str">
        <v>18:00</v>
      </c>
      <c r="C52" s="2" t="str">
        <v>АЗИЯ АЗИЯ</v>
      </c>
      <c r="D52" s="2" t="str">
        <v>Чонбук Моторс (Кор)-Йокогама M. (Япо)</v>
      </c>
      <c r="E52" s="2" t="str">
        <v>-</v>
      </c>
      <c r="F52" s="2" t="str">
        <v>-</v>
      </c>
      <c r="G52" s="2" t="str">
        <v>-</v>
      </c>
    </row>
    <row r="53">
      <c r="A53" s="2" t="str">
        <v>01/05 ВС</v>
      </c>
      <c r="B53" s="2" t="str">
        <v>16:00</v>
      </c>
      <c r="C53" s="2" t="str">
        <v>АНГЛИЯ АНГЛИЯ</v>
      </c>
      <c r="D53" s="2" t="str">
        <v>Блэкберн U23-Челси U23</v>
      </c>
      <c r="E53" s="2" t="str">
        <v>-</v>
      </c>
      <c r="F53" s="2" t="str">
        <v>-</v>
      </c>
      <c r="G53" s="2" t="str">
        <v>-</v>
      </c>
    </row>
    <row r="54">
      <c r="A54" s="2" t="str">
        <v>01/05 ВС</v>
      </c>
      <c r="B54" s="2" t="str">
        <v>16:00</v>
      </c>
      <c r="C54" s="2" t="str">
        <v>АНГЛИЯ АНГЛИЯ</v>
      </c>
      <c r="D54" s="2" t="str">
        <v>Мидлсбро U23-Рединг U23</v>
      </c>
      <c r="E54" s="2" t="str">
        <v>-</v>
      </c>
      <c r="F54" s="2" t="str">
        <v>-</v>
      </c>
      <c r="G54" s="2" t="str">
        <v>-</v>
      </c>
    </row>
    <row r="55">
      <c r="A55" s="2" t="str">
        <v>01/05 ВС</v>
      </c>
      <c r="B55" s="2" t="str">
        <v>17:00</v>
      </c>
      <c r="C55" s="2" t="str">
        <v>АНГЛИЯ АНГЛИЯ</v>
      </c>
      <c r="D55" s="2" t="str">
        <v>Ливерпуль U23-Манчестер Юнайтед U23</v>
      </c>
      <c r="E55" s="2" t="str">
        <v>-</v>
      </c>
      <c r="F55" s="2" t="str">
        <v>-</v>
      </c>
      <c r="G55" s="2" t="str">
        <v>-</v>
      </c>
    </row>
    <row r="56">
      <c r="A56" s="2" t="str">
        <v>01/05 ВС</v>
      </c>
      <c r="B56" s="2" t="str">
        <v>17:00</v>
      </c>
      <c r="C56" s="2" t="str">
        <v>АНГЛИЯ АНГЛИЯ</v>
      </c>
      <c r="D56" s="2" t="str">
        <v>Саутгемптон U23-Сандерленд U23</v>
      </c>
      <c r="E56" s="2" t="str">
        <v>-</v>
      </c>
      <c r="F56" s="2" t="str">
        <v>-</v>
      </c>
      <c r="G56" s="2" t="str">
        <v>-</v>
      </c>
    </row>
    <row r="57">
      <c r="A57" s="2" t="str">
        <v>01/05 ВС</v>
      </c>
      <c r="B57" s="2" t="str">
        <v>15:00</v>
      </c>
      <c r="C57" s="2" t="str">
        <v>АНГЛИЯ АНГЛИЯ</v>
      </c>
      <c r="D57" s="2" t="str">
        <v>Манчестер Юнайтед (Ж)-Вест Хэм (Ж)</v>
      </c>
      <c r="E57" s="2" t="str">
        <v>-</v>
      </c>
      <c r="F57" s="2" t="str">
        <v>-</v>
      </c>
      <c r="G57" s="2" t="str">
        <v>-</v>
      </c>
    </row>
    <row r="58">
      <c r="A58" s="2" t="str">
        <v>01/05 ВС</v>
      </c>
      <c r="B58" s="2" t="str">
        <v>17:00</v>
      </c>
      <c r="C58" s="2" t="str">
        <v>АНГЛИЯ АНГЛИЯ</v>
      </c>
      <c r="D58" s="2" t="str">
        <v>Лестер (Ж)-Рединг (Ж)</v>
      </c>
      <c r="E58" s="2" t="str">
        <v>-</v>
      </c>
      <c r="F58" s="2" t="str">
        <v>-</v>
      </c>
      <c r="G58" s="2" t="str">
        <v>-</v>
      </c>
    </row>
    <row r="59">
      <c r="A59" s="2" t="str">
        <v>01/05 ВС</v>
      </c>
      <c r="B59" s="2" t="str">
        <v>17:15</v>
      </c>
      <c r="C59" s="2" t="str">
        <v>АНГЛИЯ АНГЛИЯ</v>
      </c>
      <c r="D59" s="2" t="str">
        <v>Арсенал (Ж)-Астон Вилла (Ж)</v>
      </c>
      <c r="E59" s="2" t="str">
        <v>-</v>
      </c>
      <c r="F59" s="2" t="str">
        <v>-</v>
      </c>
      <c r="G59" s="2" t="str">
        <v>-</v>
      </c>
    </row>
    <row r="60">
      <c r="A60" s="2" t="str">
        <v>01/05 ВС</v>
      </c>
      <c r="B60" s="2" t="str">
        <v>21:45</v>
      </c>
      <c r="C60" s="2" t="str">
        <v>АНГЛИЯ АНГЛИЯ</v>
      </c>
      <c r="D60" s="2" t="str">
        <v>Бирмингем (Ж)-Челси (Ж)</v>
      </c>
      <c r="E60" s="2" t="str">
        <v>-</v>
      </c>
      <c r="F60" s="2" t="str">
        <v>-</v>
      </c>
      <c r="G60" s="2" t="str">
        <v>-</v>
      </c>
    </row>
    <row r="61">
      <c r="A61" s="2" t="str">
        <v>01/05 ВС</v>
      </c>
      <c r="B61" s="2" t="str">
        <v>22:30</v>
      </c>
      <c r="C61" s="2" t="str">
        <v>АНГЛИЯ АНГЛИЯ</v>
      </c>
      <c r="D61" s="2" t="str">
        <v>Эвертон (Ж)-Тоттенхэм (Ж)</v>
      </c>
      <c r="E61" s="2" t="str">
        <v>-</v>
      </c>
      <c r="F61" s="2" t="str">
        <v>-</v>
      </c>
      <c r="G61" s="2" t="str">
        <v>-</v>
      </c>
    </row>
    <row r="62">
      <c r="A62" s="2" t="str">
        <v>01/05 ВС</v>
      </c>
      <c r="B62" s="2" t="str">
        <v>17:00</v>
      </c>
      <c r="C62" s="2" t="str">
        <v>АНГЛИЯ АНГЛИЯ</v>
      </c>
      <c r="D62" s="2" t="str">
        <v>Лондон-Сити Лайонессес (Ж)-Блэкберн (Ж)</v>
      </c>
      <c r="E62" s="2" t="str">
        <v>-</v>
      </c>
      <c r="F62" s="2" t="str">
        <v>-</v>
      </c>
      <c r="G62" s="2" t="str">
        <v>-</v>
      </c>
    </row>
    <row r="63">
      <c r="A63" s="2" t="str">
        <v>01/05 ВС</v>
      </c>
      <c r="B63" s="2" t="str">
        <v>17:00</v>
      </c>
      <c r="C63" s="2" t="str">
        <v>АНГЛИЯ АНГЛИЯ</v>
      </c>
      <c r="D63" s="2" t="str">
        <v>Льюиз (Ж)-Ливерпуль (Ж)</v>
      </c>
      <c r="E63" s="2" t="str">
        <v>-</v>
      </c>
      <c r="F63" s="2" t="str">
        <v>-</v>
      </c>
      <c r="G63" s="2" t="str">
        <v>-</v>
      </c>
    </row>
    <row r="64">
      <c r="A64" s="2" t="str">
        <v>01/05 ВС</v>
      </c>
      <c r="B64" s="2" t="str">
        <v>17:00</v>
      </c>
      <c r="C64" s="2" t="str">
        <v>АНГЛИЯ АНГЛИЯ</v>
      </c>
      <c r="D64" s="2" t="str">
        <v>Сандерленд (Ж)-Бристоль Сити (Ж)</v>
      </c>
      <c r="E64" s="2" t="str">
        <v>-</v>
      </c>
      <c r="F64" s="2" t="str">
        <v>-</v>
      </c>
      <c r="G64" s="2" t="str">
        <v>-</v>
      </c>
    </row>
    <row r="65">
      <c r="A65" s="2" t="str">
        <v>01/05 ВС</v>
      </c>
      <c r="B65" s="2" t="str">
        <v>17:00</v>
      </c>
      <c r="C65" s="2" t="str">
        <v>АНГЛИЯ АНГЛИЯ</v>
      </c>
      <c r="D65" s="2" t="str">
        <v>Уотфорд (Ж)-Ковентри Юнайтед (Ж)</v>
      </c>
      <c r="E65" s="2" t="str">
        <v>-</v>
      </c>
      <c r="F65" s="2" t="str">
        <v>-</v>
      </c>
      <c r="G65" s="2" t="str">
        <v>-</v>
      </c>
    </row>
    <row r="66">
      <c r="A66" s="2" t="str">
        <v>01/05 ВС</v>
      </c>
      <c r="B66" s="2" t="str">
        <v>17:00</v>
      </c>
      <c r="C66" s="2" t="str">
        <v>АНГЛИЯ АНГЛИЯ</v>
      </c>
      <c r="D66" s="2" t="str">
        <v>Чарльтон (Ж)-Дарем (Ж)</v>
      </c>
      <c r="E66" s="2" t="str">
        <v>-</v>
      </c>
      <c r="F66" s="2" t="str">
        <v>-</v>
      </c>
      <c r="G66" s="2" t="str">
        <v>-</v>
      </c>
    </row>
    <row r="67">
      <c r="A67" s="2" t="str">
        <v>01/05 ВС</v>
      </c>
      <c r="B67" s="2" t="str">
        <v>17:00</v>
      </c>
      <c r="C67" s="2" t="str">
        <v>АНГЛИЯ АНГЛИЯ</v>
      </c>
      <c r="D67" s="2" t="str">
        <v>Шеффилд Юнайтед (Ж)-Кристал Пэлас (Ж)</v>
      </c>
      <c r="E67" s="2" t="str">
        <v>-</v>
      </c>
      <c r="F67" s="2" t="str">
        <v>-</v>
      </c>
      <c r="G67" s="2" t="str">
        <v>-</v>
      </c>
    </row>
    <row r="68" xml:space="preserve">
      <c r="A68" s="2" t="str">
        <v>01/05 ВС</v>
      </c>
      <c r="B68" s="2" t="str" xml:space="preserve">
        <v xml:space="preserve">18:00_x000d_
TKP</v>
      </c>
      <c r="C68" s="2" t="str">
        <v>АНГОЛА АНГОЛА</v>
      </c>
      <c r="D68" s="2" t="str">
        <v>Каала-Дешпортиву Уила</v>
      </c>
      <c r="E68" s="2" t="str">
        <v>-</v>
      </c>
      <c r="F68" s="2" t="str">
        <v>-</v>
      </c>
      <c r="G68" s="2" t="str">
        <v>-</v>
      </c>
    </row>
    <row r="69" xml:space="preserve">
      <c r="A69" s="2" t="str">
        <v>01/05 ВС</v>
      </c>
      <c r="B69" s="2" t="str" xml:space="preserve">
        <v xml:space="preserve">18:30_x000d_
TKP</v>
      </c>
      <c r="C69" s="2" t="str">
        <v>АНГОЛА АНГОЛА</v>
      </c>
      <c r="D69" s="2" t="str">
        <v>Интер-Вильете</v>
      </c>
      <c r="E69" s="2" t="str">
        <v>-</v>
      </c>
      <c r="F69" s="2" t="str">
        <v>-</v>
      </c>
      <c r="G69" s="2" t="str">
        <v>-</v>
      </c>
    </row>
    <row r="70" xml:space="preserve">
      <c r="A70" s="2" t="str">
        <v>01/05 ВС</v>
      </c>
      <c r="B70" s="2" t="str" xml:space="preserve">
        <v xml:space="preserve">19:00_x000d_
TKP</v>
      </c>
      <c r="C70" s="2" t="str">
        <v>АНГОЛА АНГОЛА</v>
      </c>
      <c r="D70" s="2" t="str">
        <v>Примейру де Агошту-Кабушкорп</v>
      </c>
      <c r="E70" s="2" t="str">
        <v>-</v>
      </c>
      <c r="F70" s="2" t="str">
        <v>-</v>
      </c>
      <c r="G70" s="2" t="str">
        <v>-</v>
      </c>
    </row>
    <row r="71">
      <c r="A71" s="2" t="str">
        <v>01/05 ВС</v>
      </c>
      <c r="B71" s="2" t="str">
        <v>13:00</v>
      </c>
      <c r="C71" s="2" t="str">
        <v>АНДОРРА АНДОРРА</v>
      </c>
      <c r="D71" s="2" t="str">
        <v>Ордино-Каррой</v>
      </c>
      <c r="E71" s="2" t="str">
        <v>-</v>
      </c>
      <c r="F71" s="2" t="str">
        <v>-</v>
      </c>
      <c r="G71" s="2" t="str">
        <v>-</v>
      </c>
    </row>
    <row r="72">
      <c r="A72" s="2" t="str">
        <v>01/05 ВС</v>
      </c>
      <c r="B72" s="2" t="str">
        <v>15:30</v>
      </c>
      <c r="C72" s="2" t="str">
        <v>АНДОРРА АНДОРРА</v>
      </c>
      <c r="D72" s="2" t="str">
        <v>УЕ Энгордани-Санта-Колома</v>
      </c>
      <c r="E72" s="2" t="str">
        <v>-</v>
      </c>
      <c r="F72" s="2" t="str">
        <v>-</v>
      </c>
      <c r="G72" s="2" t="str">
        <v>-</v>
      </c>
    </row>
    <row r="73">
      <c r="A73" s="2" t="str">
        <v>01/05 ВС</v>
      </c>
      <c r="B73" s="2" t="str">
        <v>18:00</v>
      </c>
      <c r="C73" s="2" t="str">
        <v>АНДОРРА АНДОРРА</v>
      </c>
      <c r="D73" s="2" t="str">
        <v>Интер Клуб Эскальдес-Сант Джулия</v>
      </c>
      <c r="E73" s="2" t="str">
        <v>-</v>
      </c>
      <c r="F73" s="2" t="str">
        <v>-</v>
      </c>
      <c r="G73" s="2" t="str">
        <v>-</v>
      </c>
    </row>
    <row r="74">
      <c r="A74" s="2" t="str">
        <v>01/05 ВС</v>
      </c>
      <c r="B74" s="2" t="str">
        <v>20:30</v>
      </c>
      <c r="C74" s="2" t="str">
        <v>АНДОРРА АНДОРРА</v>
      </c>
      <c r="D74" s="2" t="str">
        <v>Атлетик Эскальдес-УЕ Санта-Колома</v>
      </c>
      <c r="E74" s="2" t="str">
        <v>-</v>
      </c>
      <c r="F74" s="2" t="str">
        <v>-</v>
      </c>
      <c r="G74" s="2" t="str">
        <v>-</v>
      </c>
    </row>
    <row r="75">
      <c r="A75" s="2" t="str">
        <v>01/05 ВС</v>
      </c>
      <c r="B75" s="2" t="str">
        <v>02:00</v>
      </c>
      <c r="C75" s="2" t="str">
        <v>АРГЕНТИНА АРГЕНТИНА</v>
      </c>
      <c r="D75" s="2" t="str">
        <v>Арсенал Саранди-Колон Санта Фе</v>
      </c>
      <c r="E75" s="2" t="str">
        <v>2.90</v>
      </c>
      <c r="F75" s="2" t="str">
        <v>3.00</v>
      </c>
      <c r="G75" s="2" t="str">
        <v>2.60</v>
      </c>
    </row>
    <row r="76">
      <c r="A76" s="2" t="str">
        <v>01/05 ВС</v>
      </c>
      <c r="B76" s="2" t="str">
        <v>02:00</v>
      </c>
      <c r="C76" s="2" t="str">
        <v>АРГЕНТИНА АРГЕНТИНА</v>
      </c>
      <c r="D76" s="2" t="str">
        <v>Бока Хуниорс-Барракас Сентраль</v>
      </c>
      <c r="E76" s="2" t="str">
        <v>1.36</v>
      </c>
      <c r="F76" s="2" t="str">
        <v>5.25</v>
      </c>
      <c r="G76" s="2" t="str">
        <v>8.00</v>
      </c>
    </row>
    <row r="77">
      <c r="A77" s="2" t="str">
        <v>01/05 ВС</v>
      </c>
      <c r="B77" s="2" t="str">
        <v>04:30</v>
      </c>
      <c r="C77" s="2" t="str">
        <v>АРГЕНТИНА АРГЕНТИНА</v>
      </c>
      <c r="D77" s="2" t="str">
        <v>Ланус-Индепендьенте</v>
      </c>
      <c r="E77" s="2" t="str">
        <v>2.80</v>
      </c>
      <c r="F77" s="2" t="str">
        <v>3.00</v>
      </c>
      <c r="G77" s="2" t="str">
        <v>2.75</v>
      </c>
    </row>
    <row r="78">
      <c r="A78" s="2" t="str">
        <v>01/05 ВС</v>
      </c>
      <c r="B78" s="2" t="str">
        <v>04:30</v>
      </c>
      <c r="C78" s="2" t="str">
        <v>АРГЕНТИНА АРГЕНТИНА</v>
      </c>
      <c r="D78" s="2" t="str">
        <v>Сармьенто Жунин-Ривер Плейт</v>
      </c>
      <c r="E78" s="2" t="str">
        <v>6.50</v>
      </c>
      <c r="F78" s="2" t="str">
        <v>4.00</v>
      </c>
      <c r="G78" s="2" t="str">
        <v>1.53</v>
      </c>
    </row>
    <row r="79">
      <c r="A79" s="2" t="str">
        <v>01/05 ВС</v>
      </c>
      <c r="B79" s="2" t="str">
        <v>01:00</v>
      </c>
      <c r="C79" s="2" t="str">
        <v>АРГЕНТИНА АРГЕНТИНА</v>
      </c>
      <c r="D79" s="2" t="str">
        <v>Индепендьенте Ривадавия-Чакарита Хуниорс</v>
      </c>
      <c r="E79" s="2" t="str">
        <v>2.05</v>
      </c>
      <c r="F79" s="2" t="str">
        <v>3.20</v>
      </c>
      <c r="G79" s="2" t="str">
        <v>4.00</v>
      </c>
    </row>
    <row r="80">
      <c r="A80" s="2" t="str">
        <v>01/05 ВС</v>
      </c>
      <c r="B80" s="2" t="str">
        <v>02:00</v>
      </c>
      <c r="C80" s="2" t="str">
        <v>АРГЕНТИНА АРГЕНТИНА</v>
      </c>
      <c r="D80" s="2" t="str">
        <v>Химнасия Хухуй-Клуб А. Гермес</v>
      </c>
      <c r="E80" s="2" t="str">
        <v>2.62</v>
      </c>
      <c r="F80" s="2" t="str">
        <v>2.80</v>
      </c>
      <c r="G80" s="2" t="str">
        <v>3.20</v>
      </c>
    </row>
    <row r="81">
      <c r="A81" s="2" t="str">
        <v>01/05 ВС</v>
      </c>
      <c r="B81" s="2" t="str">
        <v>02:30</v>
      </c>
      <c r="C81" s="2" t="str">
        <v>АРГЕНТИНА АРГЕНТИНА</v>
      </c>
      <c r="D81" s="2" t="str">
        <v>Альварадо-Атлетико Атланта</v>
      </c>
      <c r="E81" s="2" t="str">
        <v>3.10</v>
      </c>
      <c r="F81" s="2" t="str">
        <v>3.00</v>
      </c>
      <c r="G81" s="2" t="str">
        <v>2.50</v>
      </c>
    </row>
    <row r="82">
      <c r="A82" s="2" t="str">
        <v>01/05 ВС</v>
      </c>
      <c r="B82" s="2" t="str">
        <v>04:00</v>
      </c>
      <c r="C82" s="2" t="str">
        <v>АРГЕНТИНА АРГЕНТИНА</v>
      </c>
      <c r="D82" s="2" t="str">
        <v>Институто-Тристан Суарес</v>
      </c>
      <c r="E82" s="2" t="str">
        <v>1.72</v>
      </c>
      <c r="F82" s="2" t="str">
        <v>3.40</v>
      </c>
      <c r="G82" s="2" t="str">
        <v>5.50</v>
      </c>
    </row>
    <row r="83">
      <c r="A83" s="2" t="str">
        <v>01/05 ВС</v>
      </c>
      <c r="B83" s="2" t="str">
        <v>04:15</v>
      </c>
      <c r="C83" s="2" t="str">
        <v>АРГЕНТИНА АРГЕНТИНА</v>
      </c>
      <c r="D83" s="2" t="str">
        <v>Альмиранте Браун-Депортиво Риестра</v>
      </c>
      <c r="E83" s="2" t="str">
        <v>2.30</v>
      </c>
      <c r="F83" s="2" t="str">
        <v>2.80</v>
      </c>
      <c r="G83" s="2" t="str">
        <v>3.75</v>
      </c>
    </row>
    <row r="84">
      <c r="A84" s="2" t="str">
        <v>01/05 ВС</v>
      </c>
      <c r="B84" s="2" t="str">
        <v>00:00</v>
      </c>
      <c r="C84" s="2" t="str">
        <v>АРГЕНТИНА АРГЕНТИНА</v>
      </c>
      <c r="D84" s="2" t="str">
        <v>Унион Сунчалес-Деф. Пронунсиаменто</v>
      </c>
      <c r="E84" s="2" t="str">
        <v>-</v>
      </c>
      <c r="F84" s="2" t="str">
        <v>-</v>
      </c>
      <c r="G84" s="2" t="str">
        <v>-</v>
      </c>
    </row>
    <row r="85">
      <c r="A85" s="2" t="str">
        <v>01/05 ВС</v>
      </c>
      <c r="B85" s="2" t="str">
        <v>01:30</v>
      </c>
      <c r="C85" s="2" t="str">
        <v>АРГЕНТИНА АРГЕНТИНА</v>
      </c>
      <c r="D85" s="2" t="str">
        <v>Вилла Митре-Десампарадос</v>
      </c>
      <c r="E85" s="2" t="str">
        <v>-</v>
      </c>
      <c r="F85" s="2" t="str">
        <v>-</v>
      </c>
      <c r="G85" s="2" t="str">
        <v>-</v>
      </c>
    </row>
    <row r="86">
      <c r="A86" s="2" t="str">
        <v>01/05 ВС</v>
      </c>
      <c r="B86" s="2" t="str">
        <v>02:00</v>
      </c>
      <c r="C86" s="2" t="str">
        <v>АРГЕНТИНА АРГЕНТИНА</v>
      </c>
      <c r="D86" s="2" t="str">
        <v>Атлетико Парана-Централ Норте</v>
      </c>
      <c r="E86" s="2" t="str">
        <v>-</v>
      </c>
      <c r="F86" s="2" t="str">
        <v>-</v>
      </c>
      <c r="G86" s="2" t="str">
        <v>-</v>
      </c>
    </row>
    <row r="87">
      <c r="A87" s="2" t="str">
        <v>01/05 ВС</v>
      </c>
      <c r="B87" s="2" t="str">
        <v>04:00</v>
      </c>
      <c r="C87" s="2" t="str">
        <v>АРГЕНТИНА АРГЕНТИНА</v>
      </c>
      <c r="D87" s="2" t="str">
        <v>Бока Юнидос-Спортиво Бельграно</v>
      </c>
      <c r="E87" s="2" t="str">
        <v>-</v>
      </c>
      <c r="F87" s="2" t="str">
        <v>-</v>
      </c>
      <c r="G87" s="2" t="str">
        <v>-</v>
      </c>
    </row>
    <row r="88">
      <c r="A88" s="2" t="str">
        <v>01/05 ВС</v>
      </c>
      <c r="B88" s="2" t="str">
        <v>02:10</v>
      </c>
      <c r="C88" s="2" t="str">
        <v>АРГЕНТИНА АРГЕНТИНА</v>
      </c>
      <c r="D88" s="2" t="str">
        <v>Итусаинго-Кануэлас</v>
      </c>
      <c r="E88" s="2" t="str">
        <v>-</v>
      </c>
      <c r="F88" s="2" t="str">
        <v>-</v>
      </c>
      <c r="G88" s="2" t="str">
        <v>-</v>
      </c>
    </row>
    <row r="89" xml:space="preserve">
      <c r="A89" s="2" t="str">
        <v>01/05 ВС</v>
      </c>
      <c r="B89" s="2" t="str" xml:space="preserve">
        <v xml:space="preserve">17:30_x000d_
TKP</v>
      </c>
      <c r="C89" s="2" t="str">
        <v>АРМЕНИЯ АРМЕНИЯ</v>
      </c>
      <c r="D89" s="2" t="str">
        <v>Алашкерт 2-Пюник 2</v>
      </c>
      <c r="E89" s="2" t="str">
        <v>-</v>
      </c>
      <c r="F89" s="2" t="str">
        <v>-</v>
      </c>
      <c r="G89" s="2" t="str">
        <v>-</v>
      </c>
    </row>
    <row r="90" xml:space="preserve">
      <c r="A90" s="2" t="str">
        <v>01/05 ВС</v>
      </c>
      <c r="B90" s="2" t="str" xml:space="preserve">
        <v xml:space="preserve">02:30_x000d_
TKP</v>
      </c>
      <c r="C90" s="2" t="str">
        <v>АРУБА АРУБА</v>
      </c>
      <c r="D90" s="2" t="str">
        <v>Юнайтед-Ривер Плейт</v>
      </c>
      <c r="E90" s="2" t="str">
        <v>-</v>
      </c>
      <c r="F90" s="2" t="str">
        <v>-</v>
      </c>
      <c r="G90" s="2" t="str">
        <v>-</v>
      </c>
    </row>
    <row r="91" xml:space="preserve">
      <c r="A91" s="2" t="str">
        <v>01/05 ВС</v>
      </c>
      <c r="B91" s="2" t="str" xml:space="preserve">
        <v xml:space="preserve">04:30_x000d_
TKP</v>
      </c>
      <c r="C91" s="2" t="str">
        <v>АРУБА АРУБА</v>
      </c>
      <c r="D91" s="2" t="str">
        <v>Дакота-Британниа</v>
      </c>
      <c r="E91" s="2" t="str">
        <v>-</v>
      </c>
      <c r="F91" s="2" t="str">
        <v>-</v>
      </c>
      <c r="G91" s="2" t="str">
        <v>-</v>
      </c>
    </row>
    <row r="92">
      <c r="A92" s="2" t="str">
        <v>01/05 ВС</v>
      </c>
      <c r="B92" s="2" t="str">
        <v>13:30</v>
      </c>
      <c r="C92" s="2" t="str">
        <v>БАНГЛАДЕШ БАНГЛАДЕШ</v>
      </c>
      <c r="D92" s="2" t="str">
        <v>Мохаммедан Дакка-Свадхината</v>
      </c>
      <c r="E92" s="2" t="str">
        <v>-</v>
      </c>
      <c r="F92" s="2" t="str">
        <v>-</v>
      </c>
      <c r="G92" s="2" t="str">
        <v>-</v>
      </c>
    </row>
    <row r="93">
      <c r="A93" s="2" t="str">
        <v>01/05 ВС</v>
      </c>
      <c r="B93" s="2" t="str">
        <v>17:00</v>
      </c>
      <c r="C93" s="2" t="str">
        <v>БЕЛАРУСЬ БЕЛАРУСЬ</v>
      </c>
      <c r="D93" s="2" t="str">
        <v>Ислочь-Минск</v>
      </c>
      <c r="E93" s="2" t="str">
        <v>-</v>
      </c>
      <c r="F93" s="2" t="str">
        <v>-</v>
      </c>
      <c r="G93" s="2" t="str">
        <v>-</v>
      </c>
    </row>
    <row r="94">
      <c r="A94" s="2" t="str">
        <v>01/05 ВС</v>
      </c>
      <c r="B94" s="2" t="str">
        <v>21:30</v>
      </c>
      <c r="C94" s="2" t="str">
        <v>БЕЛАРУСЬ БЕЛАРУСЬ</v>
      </c>
      <c r="D94" s="2" t="str">
        <v>Динамо Брест-Арсенал Дзержинск</v>
      </c>
      <c r="E94" s="2" t="str">
        <v>-</v>
      </c>
      <c r="F94" s="2" t="str">
        <v>-</v>
      </c>
      <c r="G94" s="2" t="str">
        <v>-</v>
      </c>
    </row>
    <row r="95">
      <c r="A95" s="2" t="str">
        <v>01/05 ВС</v>
      </c>
      <c r="B95" s="2" t="str">
        <v>15:00</v>
      </c>
      <c r="C95" s="2" t="str">
        <v>БЕЛАРУСЬ БЕЛАРУСЬ</v>
      </c>
      <c r="D95" s="2" t="str">
        <v>Барановичи-Maxline Rogachev</v>
      </c>
      <c r="E95" s="2" t="str">
        <v>-</v>
      </c>
      <c r="F95" s="2" t="str">
        <v>-</v>
      </c>
      <c r="G95" s="2" t="str">
        <v>-</v>
      </c>
    </row>
    <row r="96">
      <c r="A96" s="2" t="str">
        <v>01/05 ВС</v>
      </c>
      <c r="B96" s="2" t="str">
        <v>17:00</v>
      </c>
      <c r="C96" s="2" t="str">
        <v>БЕЛАРУСЬ БЕЛАРУСЬ</v>
      </c>
      <c r="D96" s="2" t="str">
        <v>Лида-Орша</v>
      </c>
      <c r="E96" s="2" t="str">
        <v>-</v>
      </c>
      <c r="F96" s="2" t="str">
        <v>-</v>
      </c>
      <c r="G96" s="2" t="str">
        <v>-</v>
      </c>
    </row>
    <row r="97">
      <c r="A97" s="2" t="str">
        <v>01/05 ВС</v>
      </c>
      <c r="B97" s="2" t="str">
        <v>19:00</v>
      </c>
      <c r="C97" s="2" t="str">
        <v>БЕЛАРУСЬ БЕЛАРУСЬ</v>
      </c>
      <c r="D97" s="2" t="str">
        <v>Петриков-Сморгонь</v>
      </c>
      <c r="E97" s="2" t="str">
        <v>-</v>
      </c>
      <c r="F97" s="2" t="str">
        <v>-</v>
      </c>
      <c r="G97" s="2" t="str">
        <v>-</v>
      </c>
    </row>
    <row r="98">
      <c r="A98" s="2" t="str">
        <v>01/05 ВС</v>
      </c>
      <c r="B98" s="2" t="str">
        <v>14:00</v>
      </c>
      <c r="C98" s="2" t="str">
        <v>БЕЛАРУСЬ БЕЛАРУСЬ</v>
      </c>
      <c r="D98" s="2" t="str">
        <v>Слуцк 2-Славия Мозырь 2</v>
      </c>
      <c r="E98" s="2" t="str">
        <v>-</v>
      </c>
      <c r="F98" s="2" t="str">
        <v>-</v>
      </c>
      <c r="G98" s="2" t="str">
        <v>-</v>
      </c>
    </row>
    <row r="99">
      <c r="A99" s="2" t="str">
        <v>01/05 ВС</v>
      </c>
      <c r="B99" s="2" t="str">
        <v>14:00</v>
      </c>
      <c r="C99" s="2" t="str">
        <v>БЕЛАРУСЬ БЕЛАРУСЬ</v>
      </c>
      <c r="D99" s="2" t="str">
        <v>Торпедо-БелАЗ 2-Белшина 2</v>
      </c>
      <c r="E99" s="2" t="str">
        <v>-</v>
      </c>
      <c r="F99" s="2" t="str">
        <v>-</v>
      </c>
      <c r="G99" s="2" t="str">
        <v>-</v>
      </c>
    </row>
    <row r="100">
      <c r="A100" s="2" t="str">
        <v>01/05 ВС</v>
      </c>
      <c r="B100" s="2" t="str">
        <v>15:30</v>
      </c>
      <c r="C100" s="2" t="str">
        <v>БЕЛЬГИЯ БЕЛЬГИЯ</v>
      </c>
      <c r="D100" s="2" t="str">
        <v>Антверпен-Юнион Сент-Жиллуа</v>
      </c>
      <c r="E100" s="2" t="str">
        <v>3.25</v>
      </c>
      <c r="F100" s="2" t="str">
        <v>3.25</v>
      </c>
      <c r="G100" s="2" t="str">
        <v>2.05</v>
      </c>
    </row>
    <row r="101">
      <c r="A101" s="2" t="str">
        <v>01/05 ВС</v>
      </c>
      <c r="B101" s="2" t="str">
        <v>20:30</v>
      </c>
      <c r="C101" s="2" t="str">
        <v>БЕЛЬГИЯ БЕЛЬГИЯ</v>
      </c>
      <c r="D101" s="2" t="str">
        <v>Андерлехт-Брюгге</v>
      </c>
      <c r="E101" s="2" t="str">
        <v>2.37</v>
      </c>
      <c r="F101" s="2" t="str">
        <v>3.20</v>
      </c>
      <c r="G101" s="2" t="str">
        <v>2.70</v>
      </c>
    </row>
    <row r="102" xml:space="preserve">
      <c r="A102" s="2" t="str">
        <v>01/05 ВС</v>
      </c>
      <c r="B102" s="2" t="str" xml:space="preserve">
        <v xml:space="preserve">17:00_x000d_
TKP</v>
      </c>
      <c r="C102" s="2" t="str">
        <v>БЕЛЬГИЯ БЕЛЬГИЯ</v>
      </c>
      <c r="D102" s="2" t="str">
        <v>Акран-РААЛ Ла Лувирье</v>
      </c>
      <c r="E102" s="2" t="str">
        <v>-</v>
      </c>
      <c r="F102" s="2" t="str">
        <v>-</v>
      </c>
      <c r="G102" s="2" t="str">
        <v>-</v>
      </c>
    </row>
    <row r="103" xml:space="preserve">
      <c r="A103" s="2" t="str">
        <v>01/05 ВС</v>
      </c>
      <c r="B103" s="2" t="str" xml:space="preserve">
        <v xml:space="preserve">17:00_x000d_
TKP</v>
      </c>
      <c r="C103" s="2" t="str">
        <v>БЕЛЬГИЯ БЕЛЬГИЯ</v>
      </c>
      <c r="D103" s="2" t="str">
        <v>Амуар-Стоке-Варфюзе</v>
      </c>
      <c r="E103" s="2" t="str">
        <v>-</v>
      </c>
      <c r="F103" s="2" t="str">
        <v>-</v>
      </c>
      <c r="G103" s="2" t="str">
        <v>-</v>
      </c>
    </row>
    <row r="104" xml:space="preserve">
      <c r="A104" s="2" t="str">
        <v>01/05 ВС</v>
      </c>
      <c r="B104" s="2" t="str" xml:space="preserve">
        <v xml:space="preserve">17:00_x000d_
TKP</v>
      </c>
      <c r="C104" s="2" t="str">
        <v>БЕЛЬГИЯ БЕЛЬГИЯ</v>
      </c>
      <c r="D104" s="2" t="str">
        <v>Варнант-Энтренте Дурби</v>
      </c>
      <c r="E104" s="2" t="str">
        <v>-</v>
      </c>
      <c r="F104" s="2" t="str">
        <v>-</v>
      </c>
      <c r="G104" s="2" t="str">
        <v>-</v>
      </c>
    </row>
    <row r="105" xml:space="preserve">
      <c r="A105" s="2" t="str">
        <v>01/05 ВС</v>
      </c>
      <c r="B105" s="2" t="str" xml:space="preserve">
        <v xml:space="preserve">17:00_x000d_
TKP</v>
      </c>
      <c r="C105" s="2" t="str">
        <v>БЕЛЬГИЯ БЕЛЬГИЯ</v>
      </c>
      <c r="D105" s="2" t="str">
        <v>Живри-Верлен</v>
      </c>
      <c r="E105" s="2" t="str">
        <v>-</v>
      </c>
      <c r="F105" s="2" t="str">
        <v>-</v>
      </c>
      <c r="G105" s="2" t="str">
        <v>-</v>
      </c>
    </row>
    <row r="106" xml:space="preserve">
      <c r="A106" s="2" t="str">
        <v>01/05 ВС</v>
      </c>
      <c r="B106" s="2" t="str" xml:space="preserve">
        <v xml:space="preserve">17:00_x000d_
TKP</v>
      </c>
      <c r="C106" s="2" t="str">
        <v>БЕЛЬГИЯ БЕЛЬГИЯ</v>
      </c>
      <c r="D106" s="2" t="str">
        <v>Кувен-Мариамбур-Жет</v>
      </c>
      <c r="E106" s="2" t="str">
        <v>-</v>
      </c>
      <c r="F106" s="2" t="str">
        <v>-</v>
      </c>
      <c r="G106" s="2" t="str">
        <v>-</v>
      </c>
    </row>
    <row r="107" xml:space="preserve">
      <c r="A107" s="2" t="str">
        <v>01/05 ВС</v>
      </c>
      <c r="B107" s="2" t="str" xml:space="preserve">
        <v xml:space="preserve">17:00_x000d_
TKP</v>
      </c>
      <c r="C107" s="2" t="str">
        <v>БЕЛЬГИЯ БЕЛЬГИЯ</v>
      </c>
      <c r="D107" s="2" t="str">
        <v>Ребекуаз-Тьюбиц</v>
      </c>
      <c r="E107" s="2" t="str">
        <v>-</v>
      </c>
      <c r="F107" s="2" t="str">
        <v>-</v>
      </c>
      <c r="G107" s="2" t="str">
        <v>-</v>
      </c>
    </row>
    <row r="108" xml:space="preserve">
      <c r="A108" s="2" t="str">
        <v>01/05 ВС</v>
      </c>
      <c r="B108" s="2" t="str" xml:space="preserve">
        <v xml:space="preserve">17:00_x000d_
TKP</v>
      </c>
      <c r="C108" s="2" t="str">
        <v>БЕЛЬГИЯ БЕЛЬГИЯ</v>
      </c>
      <c r="D108" s="2" t="str">
        <v>Сольер Спорт-Гансхорен</v>
      </c>
      <c r="E108" s="2" t="str">
        <v>-</v>
      </c>
      <c r="F108" s="2" t="str">
        <v>-</v>
      </c>
      <c r="G108" s="2" t="str">
        <v>-</v>
      </c>
    </row>
    <row r="109" xml:space="preserve">
      <c r="A109" s="2" t="str">
        <v>01/05 ВС</v>
      </c>
      <c r="B109" s="2" t="str" xml:space="preserve">
        <v xml:space="preserve">17:30_x000d_
TKP</v>
      </c>
      <c r="C109" s="2" t="str">
        <v>БЕЛЬГИЯ БЕЛЬГИЯ</v>
      </c>
      <c r="D109" s="2" t="str">
        <v>Мё-Варем</v>
      </c>
      <c r="E109" s="2" t="str">
        <v>-</v>
      </c>
      <c r="F109" s="2" t="str">
        <v>-</v>
      </c>
      <c r="G109" s="2" t="str">
        <v>-</v>
      </c>
    </row>
    <row r="110" xml:space="preserve">
      <c r="A110" s="2" t="str">
        <v>01/05 ВС</v>
      </c>
      <c r="B110" s="2" t="str" xml:space="preserve">
        <v xml:space="preserve">17:00_x000d_
TKP</v>
      </c>
      <c r="C110" s="2" t="str">
        <v>БЕЛЬГИЯ БЕЛЬГИЯ</v>
      </c>
      <c r="D110" s="2" t="str">
        <v>Ауденарде-Петегем</v>
      </c>
      <c r="E110" s="2" t="str">
        <v>-</v>
      </c>
      <c r="F110" s="2" t="str">
        <v>-</v>
      </c>
      <c r="G110" s="2" t="str">
        <v>-</v>
      </c>
    </row>
    <row r="111" xml:space="preserve">
      <c r="A111" s="2" t="str">
        <v>01/05 ВС</v>
      </c>
      <c r="B111" s="2" t="str" xml:space="preserve">
        <v xml:space="preserve">17:00_x000d_
TKP</v>
      </c>
      <c r="C111" s="2" t="str">
        <v>БЕЛЬГИЯ БЕЛЬГИЯ</v>
      </c>
      <c r="D111" s="2" t="str">
        <v>Вестхук-Олса Бракел</v>
      </c>
      <c r="E111" s="2" t="str">
        <v>-</v>
      </c>
      <c r="F111" s="2" t="str">
        <v>-</v>
      </c>
      <c r="G111" s="2" t="str">
        <v>-</v>
      </c>
    </row>
    <row r="112" xml:space="preserve">
      <c r="A112" s="2" t="str">
        <v>01/05 ВС</v>
      </c>
      <c r="B112" s="2" t="str" xml:space="preserve">
        <v xml:space="preserve">17:00_x000d_
TKP</v>
      </c>
      <c r="C112" s="2" t="str">
        <v>БЕЛЬГИЯ БЕЛЬГИЯ</v>
      </c>
      <c r="D112" s="2" t="str">
        <v>Диккелвенне-Веттерен</v>
      </c>
      <c r="E112" s="2" t="str">
        <v>-</v>
      </c>
      <c r="F112" s="2" t="str">
        <v>-</v>
      </c>
      <c r="G112" s="2" t="str">
        <v>-</v>
      </c>
    </row>
    <row r="113" xml:space="preserve">
      <c r="A113" s="2" t="str">
        <v>01/05 ВС</v>
      </c>
      <c r="B113" s="2" t="str" xml:space="preserve">
        <v xml:space="preserve">17:00_x000d_
TKP</v>
      </c>
      <c r="C113" s="2" t="str">
        <v>БЕЛЬГИЯ БЕЛЬГИЯ</v>
      </c>
      <c r="D113" s="2" t="str">
        <v>Звевезеле-Менен</v>
      </c>
      <c r="E113" s="2" t="str">
        <v>-</v>
      </c>
      <c r="F113" s="2" t="str">
        <v>-</v>
      </c>
      <c r="G113" s="2" t="str">
        <v>-</v>
      </c>
    </row>
    <row r="114" xml:space="preserve">
      <c r="A114" s="2" t="str">
        <v>01/05 ВС</v>
      </c>
      <c r="B114" s="2" t="str" xml:space="preserve">
        <v xml:space="preserve">17:00_x000d_
TKP</v>
      </c>
      <c r="C114" s="2" t="str">
        <v>БЕЛЬГИЯ БЕЛЬГИЯ</v>
      </c>
      <c r="D114" s="2" t="str">
        <v>Зелзате-Гуллегем</v>
      </c>
      <c r="E114" s="2" t="str">
        <v>-</v>
      </c>
      <c r="F114" s="2" t="str">
        <v>-</v>
      </c>
      <c r="G114" s="2" t="str">
        <v>-</v>
      </c>
    </row>
    <row r="115" xml:space="preserve">
      <c r="A115" s="2" t="str">
        <v>01/05 ВС</v>
      </c>
      <c r="B115" s="2" t="str" xml:space="preserve">
        <v xml:space="preserve">17:00_x000d_
TKP</v>
      </c>
      <c r="C115" s="2" t="str">
        <v>БЕЛЬГИЯ БЕЛЬГИЯ</v>
      </c>
      <c r="D115" s="2" t="str">
        <v>Мерелбеке-Харелбеке</v>
      </c>
      <c r="E115" s="2" t="str">
        <v>-</v>
      </c>
      <c r="F115" s="2" t="str">
        <v>-</v>
      </c>
      <c r="G115" s="2" t="str">
        <v>-</v>
      </c>
    </row>
    <row r="116" xml:space="preserve">
      <c r="A116" s="2" t="str">
        <v>01/05 ВС</v>
      </c>
      <c r="B116" s="2" t="str" xml:space="preserve">
        <v xml:space="preserve">17:00_x000d_
TKP</v>
      </c>
      <c r="C116" s="2" t="str">
        <v>БЕЛЬГИЯ БЕЛЬГИЯ</v>
      </c>
      <c r="D116" s="2" t="str">
        <v>Нинове-Локерен-Темзе</v>
      </c>
      <c r="E116" s="2" t="str">
        <v>-</v>
      </c>
      <c r="F116" s="2" t="str">
        <v>-</v>
      </c>
      <c r="G116" s="2" t="str">
        <v>-</v>
      </c>
    </row>
    <row r="117" xml:space="preserve">
      <c r="A117" s="2" t="str">
        <v>01/05 ВС</v>
      </c>
      <c r="B117" s="2" t="str" xml:space="preserve">
        <v xml:space="preserve">17:00_x000d_
TKP</v>
      </c>
      <c r="C117" s="2" t="str">
        <v>БЕЛЬГИЯ БЕЛЬГИЯ</v>
      </c>
      <c r="D117" s="2" t="str">
        <v>Ронсе-Гент</v>
      </c>
      <c r="E117" s="2" t="str">
        <v>-</v>
      </c>
      <c r="F117" s="2" t="str">
        <v>-</v>
      </c>
      <c r="G117" s="2" t="str">
        <v>-</v>
      </c>
    </row>
    <row r="118" xml:space="preserve">
      <c r="A118" s="2" t="str">
        <v>01/05 ВС</v>
      </c>
      <c r="B118" s="2" t="str" xml:space="preserve">
        <v xml:space="preserve">17:00_x000d_
TKP</v>
      </c>
      <c r="C118" s="2" t="str">
        <v>БЕЛЬГИЯ БЕЛЬГИЯ</v>
      </c>
      <c r="D118" s="2" t="str">
        <v>Аид-Каппеллен</v>
      </c>
      <c r="E118" s="2" t="str">
        <v>-</v>
      </c>
      <c r="F118" s="2" t="str">
        <v>-</v>
      </c>
      <c r="G118" s="2" t="str">
        <v>-</v>
      </c>
    </row>
    <row r="119" xml:space="preserve">
      <c r="A119" s="2" t="str">
        <v>01/05 ВС</v>
      </c>
      <c r="B119" s="2" t="str" xml:space="preserve">
        <v xml:space="preserve">17:00_x000d_
TKP</v>
      </c>
      <c r="C119" s="2" t="str">
        <v>БЕЛЬГИЯ БЕЛЬГИЯ</v>
      </c>
      <c r="D119" s="2" t="str">
        <v>Белиция Билзен-Вейгмал</v>
      </c>
      <c r="E119" s="2" t="str">
        <v>-</v>
      </c>
      <c r="F119" s="2" t="str">
        <v>-</v>
      </c>
      <c r="G119" s="2" t="str">
        <v>-</v>
      </c>
    </row>
    <row r="120" xml:space="preserve">
      <c r="A120" s="2" t="str">
        <v>01/05 ВС</v>
      </c>
      <c r="B120" s="2" t="str" xml:space="preserve">
        <v xml:space="preserve">17:00_x000d_
TKP</v>
      </c>
      <c r="C120" s="2" t="str">
        <v>БЕЛЬГИЯ БЕЛЬГИЯ</v>
      </c>
      <c r="D120" s="2" t="str">
        <v>Бохолтер-Конинклейк Берхем Спорт</v>
      </c>
      <c r="E120" s="2" t="str">
        <v>-</v>
      </c>
      <c r="F120" s="2" t="str">
        <v>-</v>
      </c>
      <c r="G120" s="2" t="str">
        <v>-</v>
      </c>
    </row>
    <row r="121" xml:space="preserve">
      <c r="A121" s="2" t="str">
        <v>01/05 ВС</v>
      </c>
      <c r="B121" s="2" t="str" xml:space="preserve">
        <v xml:space="preserve">17:00_x000d_
TKP</v>
      </c>
      <c r="C121" s="2" t="str">
        <v>БЕЛЬГИЯ БЕЛЬГИЯ</v>
      </c>
      <c r="D121" s="2" t="str">
        <v>Дигем-Хасселт</v>
      </c>
      <c r="E121" s="2" t="str">
        <v>-</v>
      </c>
      <c r="F121" s="2" t="str">
        <v>-</v>
      </c>
      <c r="G121" s="2" t="str">
        <v>-</v>
      </c>
    </row>
    <row r="122" xml:space="preserve">
      <c r="A122" s="2" t="str">
        <v>01/05 ВС</v>
      </c>
      <c r="B122" s="2" t="str" xml:space="preserve">
        <v xml:space="preserve">17:00_x000d_
TKP</v>
      </c>
      <c r="C122" s="2" t="str">
        <v>БЕЛЬГИЯ БЕЛЬГИЯ</v>
      </c>
      <c r="D122" s="2" t="str">
        <v>Лира-Льерс Берлар-Лондерзел</v>
      </c>
      <c r="E122" s="2" t="str">
        <v>-</v>
      </c>
      <c r="F122" s="2" t="str">
        <v>-</v>
      </c>
      <c r="G122" s="2" t="str">
        <v>-</v>
      </c>
    </row>
    <row r="123" xml:space="preserve">
      <c r="A123" s="2" t="str">
        <v>01/05 ВС</v>
      </c>
      <c r="B123" s="2" t="str" xml:space="preserve">
        <v xml:space="preserve">17:00_x000d_
TKP</v>
      </c>
      <c r="C123" s="2" t="str">
        <v>БЕЛЬГИЯ БЕЛЬГИЯ</v>
      </c>
      <c r="D123" s="2" t="str">
        <v>Мерксем-Аальст</v>
      </c>
      <c r="E123" s="2" t="str">
        <v>-</v>
      </c>
      <c r="F123" s="2" t="str">
        <v>-</v>
      </c>
      <c r="G123" s="2" t="str">
        <v>-</v>
      </c>
    </row>
    <row r="124" xml:space="preserve">
      <c r="A124" s="2" t="str">
        <v>01/05 ВС</v>
      </c>
      <c r="B124" s="2" t="str" xml:space="preserve">
        <v xml:space="preserve">17:00_x000d_
TKP</v>
      </c>
      <c r="C124" s="2" t="str">
        <v>БЕЛЬГИЯ БЕЛЬГИЯ</v>
      </c>
      <c r="D124" s="2" t="str">
        <v>Пепиньен-Хогстратен</v>
      </c>
      <c r="E124" s="2" t="str">
        <v>-</v>
      </c>
      <c r="F124" s="2" t="str">
        <v>-</v>
      </c>
      <c r="G124" s="2" t="str">
        <v>-</v>
      </c>
    </row>
    <row r="125" xml:space="preserve">
      <c r="A125" s="2" t="str">
        <v>01/05 ВС</v>
      </c>
      <c r="B125" s="2" t="str" xml:space="preserve">
        <v xml:space="preserve">17:00_x000d_
TKP</v>
      </c>
      <c r="C125" s="2" t="str">
        <v>БЕЛЬГИЯ БЕЛЬГИЯ</v>
      </c>
      <c r="D125" s="2" t="str">
        <v>Тонгерен-Хаутвенн</v>
      </c>
      <c r="E125" s="2" t="str">
        <v>-</v>
      </c>
      <c r="F125" s="2" t="str">
        <v>-</v>
      </c>
      <c r="G125" s="2" t="str">
        <v>-</v>
      </c>
    </row>
    <row r="126" xml:space="preserve">
      <c r="A126" s="2" t="str">
        <v>01/05 ВС</v>
      </c>
      <c r="B126" s="2" t="str" xml:space="preserve">
        <v xml:space="preserve">19:00_x000d_
TKP</v>
      </c>
      <c r="C126" s="2" t="str">
        <v>БЕНИН БЕНИН</v>
      </c>
      <c r="D126" s="2" t="str">
        <v>АСОС-АСПАК</v>
      </c>
      <c r="E126" s="2" t="str">
        <v>-</v>
      </c>
      <c r="F126" s="2" t="str">
        <v>-</v>
      </c>
      <c r="G126" s="2" t="str">
        <v>-</v>
      </c>
    </row>
    <row r="127" xml:space="preserve">
      <c r="A127" s="2" t="str">
        <v>01/05 ВС</v>
      </c>
      <c r="B127" s="2" t="str" xml:space="preserve">
        <v xml:space="preserve">19:00_x000d_
TKP</v>
      </c>
      <c r="C127" s="2" t="str">
        <v>БЕНИН БЕНИН</v>
      </c>
      <c r="D127" s="2" t="str">
        <v>Динамик Джугу-Тоннер д'Абоме</v>
      </c>
      <c r="E127" s="2" t="str">
        <v>-</v>
      </c>
      <c r="F127" s="2" t="str">
        <v>-</v>
      </c>
      <c r="G127" s="2" t="str">
        <v>-</v>
      </c>
    </row>
    <row r="128" xml:space="preserve">
      <c r="A128" s="2" t="str">
        <v>01/05 ВС</v>
      </c>
      <c r="B128" s="2" t="str" xml:space="preserve">
        <v xml:space="preserve">19:00_x000d_
TKP</v>
      </c>
      <c r="C128" s="2" t="str">
        <v>БЕНИН БЕНИН</v>
      </c>
      <c r="D128" s="2" t="str">
        <v>ЖАК-Упи Онм</v>
      </c>
      <c r="E128" s="2" t="str">
        <v>-</v>
      </c>
      <c r="F128" s="2" t="str">
        <v>-</v>
      </c>
      <c r="G128" s="2" t="str">
        <v>-</v>
      </c>
    </row>
    <row r="129" xml:space="preserve">
      <c r="A129" s="2" t="str">
        <v>01/05 ВС</v>
      </c>
      <c r="B129" s="2" t="str" xml:space="preserve">
        <v xml:space="preserve">19:00_x000d_
TKP</v>
      </c>
      <c r="C129" s="2" t="str">
        <v>БЕНИН БЕНИН</v>
      </c>
      <c r="D129" s="2" t="str">
        <v>Реал Спорт-Одио</v>
      </c>
      <c r="E129" s="2" t="str">
        <v>-</v>
      </c>
      <c r="F129" s="2" t="str">
        <v>-</v>
      </c>
      <c r="G129" s="2" t="str">
        <v>-</v>
      </c>
    </row>
    <row r="130">
      <c r="A130" s="2" t="str">
        <v>01/05 ВС</v>
      </c>
      <c r="B130" s="2" t="str">
        <v>20:00</v>
      </c>
      <c r="C130" s="2" t="str">
        <v>БОЛГАРИЯ БОЛГАРИЯ</v>
      </c>
      <c r="D130" s="2" t="str">
        <v>Славия София-Черно Море</v>
      </c>
      <c r="E130" s="2" t="str">
        <v>3.75</v>
      </c>
      <c r="F130" s="2" t="str">
        <v>3.00</v>
      </c>
      <c r="G130" s="2" t="str">
        <v>2.20</v>
      </c>
    </row>
    <row r="131">
      <c r="A131" s="2" t="str">
        <v>01/05 ВС</v>
      </c>
      <c r="B131" s="2" t="str">
        <v>17:30</v>
      </c>
      <c r="C131" s="2" t="str">
        <v>БОЛГАРИЯ БОЛГАРИЯ</v>
      </c>
      <c r="D131" s="2" t="str">
        <v>Этыр-Спартак</v>
      </c>
      <c r="E131" s="2" t="str">
        <v>-</v>
      </c>
      <c r="F131" s="2" t="str">
        <v>-</v>
      </c>
      <c r="G131" s="2" t="str">
        <v>-</v>
      </c>
    </row>
    <row r="132" xml:space="preserve">
      <c r="A132" s="2" t="str">
        <v>01/05 ВС</v>
      </c>
      <c r="B132" s="2" t="str" xml:space="preserve">
        <v xml:space="preserve">18:00_x000d_
TKP</v>
      </c>
      <c r="C132" s="2" t="str">
        <v>БОЛГАРИЯ БОЛГАРИЯ</v>
      </c>
      <c r="D132" s="2" t="str">
        <v>Хасково-Асеновец</v>
      </c>
      <c r="E132" s="2" t="str">
        <v>-</v>
      </c>
      <c r="F132" s="2" t="str">
        <v>-</v>
      </c>
      <c r="G132" s="2" t="str">
        <v>-</v>
      </c>
    </row>
    <row r="133" xml:space="preserve">
      <c r="A133" s="2" t="str">
        <v>01/05 ВС</v>
      </c>
      <c r="B133" s="2" t="str" xml:space="preserve">
        <v xml:space="preserve">18:00_x000d_
TKP</v>
      </c>
      <c r="C133" s="2" t="str">
        <v>БОЛГАРИЯ БОЛГАРИЯ</v>
      </c>
      <c r="D133" s="2" t="str">
        <v>Спортист Тошево-Устрем Дончево</v>
      </c>
      <c r="E133" s="2" t="str">
        <v>-</v>
      </c>
      <c r="F133" s="2" t="str">
        <v>-</v>
      </c>
      <c r="G133" s="2" t="str">
        <v>-</v>
      </c>
    </row>
    <row r="134">
      <c r="A134" s="2" t="str">
        <v>01/05 ВС</v>
      </c>
      <c r="B134" s="2" t="str">
        <v>01:15</v>
      </c>
      <c r="C134" s="2" t="str">
        <v>БОЛИВИЯ БОЛИВИЯ</v>
      </c>
      <c r="D134" s="2" t="str">
        <v>Аврора-Университарио Сукре</v>
      </c>
      <c r="E134" s="2" t="str">
        <v>1.80</v>
      </c>
      <c r="F134" s="2" t="str">
        <v>3.50</v>
      </c>
      <c r="G134" s="2" t="str">
        <v>4.00</v>
      </c>
    </row>
    <row r="135">
      <c r="A135" s="2" t="str">
        <v>01/05 ВС</v>
      </c>
      <c r="B135" s="2" t="str">
        <v>03:30</v>
      </c>
      <c r="C135" s="2" t="str">
        <v>БОЛИВИЯ БОЛИВИЯ</v>
      </c>
      <c r="D135" s="2" t="str">
        <v>Индепендьенте Петрольерос-Хорхе Вильстерманн</v>
      </c>
      <c r="E135" s="2" t="str">
        <v>1.65</v>
      </c>
      <c r="F135" s="2" t="str">
        <v>4.00</v>
      </c>
      <c r="G135" s="2" t="str">
        <v>4.00</v>
      </c>
    </row>
    <row r="136">
      <c r="A136" s="2" t="str">
        <v>01/05 ВС</v>
      </c>
      <c r="B136" s="2" t="str">
        <v>03:30</v>
      </c>
      <c r="C136" s="2" t="str">
        <v>БОЛИВИЯ БОЛИВИЯ</v>
      </c>
      <c r="D136" s="2" t="str">
        <v>Роял Пари-Томаяпо</v>
      </c>
      <c r="E136" s="2" t="str">
        <v>1.44</v>
      </c>
      <c r="F136" s="2" t="str">
        <v>4.50</v>
      </c>
      <c r="G136" s="2" t="str">
        <v>7.00</v>
      </c>
    </row>
    <row r="137">
      <c r="A137" s="2" t="str">
        <v>01/05 ВС</v>
      </c>
      <c r="B137" s="2" t="str">
        <v>23:00</v>
      </c>
      <c r="C137" s="2" t="str">
        <v>БОЛИВИЯ БОЛИВИЯ</v>
      </c>
      <c r="D137" s="2" t="str">
        <v>Олвейз Рэди-Боливар</v>
      </c>
      <c r="E137" s="2" t="str">
        <v>2.70</v>
      </c>
      <c r="F137" s="2" t="str">
        <v>3.60</v>
      </c>
      <c r="G137" s="2" t="str">
        <v>2.15</v>
      </c>
    </row>
    <row r="138">
      <c r="A138" s="2" t="str">
        <v>01/05 ВС</v>
      </c>
      <c r="B138" s="2" t="str">
        <v>23:00</v>
      </c>
      <c r="C138" s="2" t="str">
        <v>БОЛИВИЯ БОЛИВИЯ</v>
      </c>
      <c r="D138" s="2" t="str">
        <v>Университарио де Винто-Блуминг</v>
      </c>
      <c r="E138" s="2" t="str">
        <v>2.37</v>
      </c>
      <c r="F138" s="2" t="str">
        <v>3.40</v>
      </c>
      <c r="G138" s="2" t="str">
        <v>2.50</v>
      </c>
    </row>
    <row r="139">
      <c r="A139" s="2" t="str">
        <v>01/05 ВС</v>
      </c>
      <c r="B139" s="2" t="str">
        <v>18:30</v>
      </c>
      <c r="C139" s="2" t="str">
        <v>БОСНИЯ И ГЕРЦЕГОВИНА БОСНИЯ И ГЕРЦЕГОВИНА</v>
      </c>
      <c r="D139" s="2" t="str">
        <v>Леотар Требинье-Вележ Мостар</v>
      </c>
      <c r="E139" s="2" t="str">
        <v>-</v>
      </c>
      <c r="F139" s="2" t="str">
        <v>-</v>
      </c>
      <c r="G139" s="2" t="str">
        <v>-</v>
      </c>
    </row>
    <row r="140">
      <c r="A140" s="2" t="str">
        <v>01/05 ВС</v>
      </c>
      <c r="B140" s="2" t="str">
        <v>01:30</v>
      </c>
      <c r="C140" s="2" t="str">
        <v>БРАЗИЛИЯ БРАЗИЛИЯ</v>
      </c>
      <c r="D140" s="2" t="str">
        <v>Гояс-Атлетико Минейро</v>
      </c>
      <c r="E140" s="2" t="str">
        <v>6.00</v>
      </c>
      <c r="F140" s="2" t="str">
        <v>4.00</v>
      </c>
      <c r="G140" s="2" t="str">
        <v>1.57</v>
      </c>
    </row>
    <row r="141">
      <c r="A141" s="2" t="str">
        <v>01/05 ВС</v>
      </c>
      <c r="B141" s="2" t="str">
        <v>02:00</v>
      </c>
      <c r="C141" s="2" t="str">
        <v>БРАЗИЛИЯ БРАЗИЛИЯ</v>
      </c>
      <c r="D141" s="2" t="str">
        <v>Куяба-Атлетико Гойаниенсе</v>
      </c>
      <c r="E141" s="2" t="str">
        <v>2.20</v>
      </c>
      <c r="F141" s="2" t="str">
        <v>3.00</v>
      </c>
      <c r="G141" s="2" t="str">
        <v>3.60</v>
      </c>
    </row>
    <row r="142">
      <c r="A142" s="2" t="str">
        <v>01/05 ВС</v>
      </c>
      <c r="B142" s="2" t="str">
        <v>18:00</v>
      </c>
      <c r="C142" s="2" t="str">
        <v>БРАЗИЛИЯ БРАЗИЛИЯ</v>
      </c>
      <c r="D142" s="2" t="str">
        <v>Ботафого-Жувентуде</v>
      </c>
      <c r="E142" s="2" t="str">
        <v>1.85</v>
      </c>
      <c r="F142" s="2" t="str">
        <v>3.30</v>
      </c>
      <c r="G142" s="2" t="str">
        <v>4.33</v>
      </c>
    </row>
    <row r="143">
      <c r="A143" s="2" t="str">
        <v>01/05 ВС</v>
      </c>
      <c r="B143" s="2" t="str">
        <v>23:00</v>
      </c>
      <c r="C143" s="2" t="str">
        <v>БРАЗИЛИЯ БРАЗИЛИЯ</v>
      </c>
      <c r="D143" s="2" t="str">
        <v>Коринтианс-Форталеза</v>
      </c>
      <c r="E143" s="2" t="str">
        <v>1.80</v>
      </c>
      <c r="F143" s="2" t="str">
        <v>3.40</v>
      </c>
      <c r="G143" s="2" t="str">
        <v>5.00</v>
      </c>
    </row>
    <row r="144">
      <c r="A144" s="2" t="str">
        <v>01/05 ВС</v>
      </c>
      <c r="B144" s="2" t="str">
        <v>23:00</v>
      </c>
      <c r="C144" s="2" t="str">
        <v>БРАЗИЛИЯ БРАЗИЛИЯ</v>
      </c>
      <c r="D144" s="2" t="str">
        <v>Коритиба-Флуминенсе</v>
      </c>
      <c r="E144" s="2" t="str">
        <v>2.45</v>
      </c>
      <c r="F144" s="2" t="str">
        <v>3.00</v>
      </c>
      <c r="G144" s="2" t="str">
        <v>3.20</v>
      </c>
    </row>
    <row r="145">
      <c r="A145" s="2" t="str">
        <v>01/05 ВС</v>
      </c>
      <c r="B145" s="2" t="str">
        <v>02:00</v>
      </c>
      <c r="C145" s="2" t="str">
        <v>БРАЗИЛИЯ БРАЗИЛИЯ</v>
      </c>
      <c r="D145" s="2" t="str">
        <v>Шапекоэнсе-Крузейро</v>
      </c>
      <c r="E145" s="2" t="str">
        <v>-</v>
      </c>
      <c r="F145" s="2" t="str">
        <v>-</v>
      </c>
      <c r="G145" s="2" t="str">
        <v>-</v>
      </c>
    </row>
    <row r="146">
      <c r="A146" s="2" t="str">
        <v>01/05 ВС</v>
      </c>
      <c r="B146" s="2" t="str">
        <v>03:30</v>
      </c>
      <c r="C146" s="2" t="str">
        <v>БРАЗИЛИЯ БРАЗИЛИЯ</v>
      </c>
      <c r="D146" s="2" t="str">
        <v>Понте-Прета-Бруске</v>
      </c>
      <c r="E146" s="2" t="str">
        <v>-</v>
      </c>
      <c r="F146" s="2" t="str">
        <v>-</v>
      </c>
      <c r="G146" s="2" t="str">
        <v>-</v>
      </c>
    </row>
    <row r="147">
      <c r="A147" s="2" t="str">
        <v>01/05 ВС</v>
      </c>
      <c r="B147" s="2" t="str">
        <v>18:00</v>
      </c>
      <c r="C147" s="2" t="str">
        <v>БРАЗИЛИЯ БРАЗИЛИЯ</v>
      </c>
      <c r="D147" s="2" t="str">
        <v>Криcиума-Новоризонтиньо</v>
      </c>
      <c r="E147" s="2" t="str">
        <v>-</v>
      </c>
      <c r="F147" s="2" t="str">
        <v>-</v>
      </c>
      <c r="G147" s="2" t="str">
        <v>-</v>
      </c>
    </row>
    <row r="148">
      <c r="A148" s="2" t="str">
        <v>01/05 ВС</v>
      </c>
      <c r="B148" s="2" t="str">
        <v>00:00</v>
      </c>
      <c r="C148" s="2" t="str">
        <v>БРАЗИЛИЯ БРАЗИЛИЯ</v>
      </c>
      <c r="D148" s="2" t="str">
        <v>Пайсанду-Ипиранга</v>
      </c>
      <c r="E148" s="2" t="str">
        <v>-</v>
      </c>
      <c r="F148" s="2" t="str">
        <v>-</v>
      </c>
      <c r="G148" s="2" t="str">
        <v>-</v>
      </c>
    </row>
    <row r="149">
      <c r="A149" s="2" t="str">
        <v>01/05 ВС</v>
      </c>
      <c r="B149" s="2" t="str">
        <v>01:00</v>
      </c>
      <c r="C149" s="2" t="str">
        <v>БРАЗИЛИЯ БРАЗИЛИЯ</v>
      </c>
      <c r="D149" s="2" t="str">
        <v>Кампиненсе-Апаресиденсе</v>
      </c>
      <c r="E149" s="2" t="str">
        <v>-</v>
      </c>
      <c r="F149" s="2" t="str">
        <v>-</v>
      </c>
      <c r="G149" s="2" t="str">
        <v>-</v>
      </c>
    </row>
    <row r="150">
      <c r="A150" s="2" t="str">
        <v>01/05 ВС</v>
      </c>
      <c r="B150" s="2" t="str">
        <v>02:00</v>
      </c>
      <c r="C150" s="2" t="str">
        <v>БРАЗИЛИЯ БРАЗИЛИЯ</v>
      </c>
      <c r="D150" s="2" t="str">
        <v>Витория-Манаус</v>
      </c>
      <c r="E150" s="2" t="str">
        <v>-</v>
      </c>
      <c r="F150" s="2" t="str">
        <v>-</v>
      </c>
      <c r="G150" s="2" t="str">
        <v>-</v>
      </c>
    </row>
    <row r="151">
      <c r="A151" s="2" t="str">
        <v>01/05 ВС</v>
      </c>
      <c r="B151" s="2" t="str">
        <v>18:00</v>
      </c>
      <c r="C151" s="2" t="str">
        <v>БРАЗИЛИЯ БРАЗИЛИЯ</v>
      </c>
      <c r="D151" s="2" t="str">
        <v>Фигейренсе-Мирассол</v>
      </c>
      <c r="E151" s="2" t="str">
        <v>-</v>
      </c>
      <c r="F151" s="2" t="str">
        <v>-</v>
      </c>
      <c r="G151" s="2" t="str">
        <v>-</v>
      </c>
    </row>
    <row r="152">
      <c r="A152" s="2" t="str">
        <v>01/05 ВС</v>
      </c>
      <c r="B152" s="2" t="str">
        <v>22:00</v>
      </c>
      <c r="C152" s="2" t="str">
        <v>БРАЗИЛИЯ БРАЗИЛИЯ</v>
      </c>
      <c r="D152" s="2" t="str">
        <v>Ферровиарио-Ботафого ПБ</v>
      </c>
      <c r="E152" s="2" t="str">
        <v>-</v>
      </c>
      <c r="F152" s="2" t="str">
        <v>-</v>
      </c>
      <c r="G152" s="2" t="str">
        <v>-</v>
      </c>
    </row>
    <row r="153">
      <c r="A153" s="2" t="str">
        <v>01/05 ВС</v>
      </c>
      <c r="B153" s="2" t="str">
        <v>00:00</v>
      </c>
      <c r="C153" s="2" t="str">
        <v>БРАЗИЛИЯ БРАЗИЛИЯ</v>
      </c>
      <c r="D153" s="2" t="str">
        <v>Америка Натал-Афогадос да Ингасейра</v>
      </c>
      <c r="E153" s="2" t="str">
        <v>-</v>
      </c>
      <c r="F153" s="2" t="str">
        <v>-</v>
      </c>
      <c r="G153" s="2" t="str">
        <v>-</v>
      </c>
    </row>
    <row r="154">
      <c r="A154" s="2" t="str">
        <v>01/05 ВС</v>
      </c>
      <c r="B154" s="2" t="str">
        <v>00:00</v>
      </c>
      <c r="C154" s="2" t="str">
        <v>БРАЗИЛИЯ БРАЗИЛИЯ</v>
      </c>
      <c r="D154" s="2" t="str">
        <v>Ферровиария-Реал Нороэсте</v>
      </c>
      <c r="E154" s="2" t="str">
        <v>-</v>
      </c>
      <c r="F154" s="2" t="str">
        <v>-</v>
      </c>
      <c r="G154" s="2" t="str">
        <v>-</v>
      </c>
    </row>
    <row r="155">
      <c r="A155" s="2" t="str">
        <v>01/05 ВС</v>
      </c>
      <c r="B155" s="2" t="str">
        <v>01:00</v>
      </c>
      <c r="C155" s="2" t="str">
        <v>БРАЗИЛИЯ БРАЗИЛИЯ</v>
      </c>
      <c r="D155" s="2" t="str">
        <v>Наутико-Сан-Раймундо РР</v>
      </c>
      <c r="E155" s="2" t="str">
        <v>-</v>
      </c>
      <c r="F155" s="2" t="str">
        <v>-</v>
      </c>
      <c r="G155" s="2" t="str">
        <v>-</v>
      </c>
    </row>
    <row r="156">
      <c r="A156" s="2" t="str">
        <v>01/05 ВС</v>
      </c>
      <c r="B156" s="2" t="str">
        <v>03:00</v>
      </c>
      <c r="C156" s="2" t="str">
        <v>БРАЗИЛИЯ БРАЗИЛИЯ</v>
      </c>
      <c r="D156" s="2" t="str">
        <v>Кальденсе-Баия де Фейра</v>
      </c>
      <c r="E156" s="2" t="str">
        <v>-</v>
      </c>
      <c r="F156" s="2" t="str">
        <v>-</v>
      </c>
      <c r="G156" s="2" t="str">
        <v>-</v>
      </c>
    </row>
    <row r="157">
      <c r="A157" s="2" t="str">
        <v>01/05 ВС</v>
      </c>
      <c r="B157" s="2" t="str">
        <v>22:00</v>
      </c>
      <c r="C157" s="2" t="str">
        <v>БРАЗИЛИЯ БРАЗИЛИЯ</v>
      </c>
      <c r="D157" s="2" t="str">
        <v>Азурис-Марсилио Диас</v>
      </c>
      <c r="E157" s="2" t="str">
        <v>-</v>
      </c>
      <c r="F157" s="2" t="str">
        <v>-</v>
      </c>
      <c r="G157" s="2" t="str">
        <v>-</v>
      </c>
    </row>
    <row r="158">
      <c r="A158" s="2" t="str">
        <v>01/05 ВС</v>
      </c>
      <c r="B158" s="2" t="str">
        <v>22:00</v>
      </c>
      <c r="C158" s="2" t="str">
        <v>БРАЗИЛИЯ БРАЗИЛИЯ</v>
      </c>
      <c r="D158" s="2" t="str">
        <v>СЭР Кашиас-Айморе</v>
      </c>
      <c r="E158" s="2" t="str">
        <v>-</v>
      </c>
      <c r="F158" s="2" t="str">
        <v>-</v>
      </c>
      <c r="G158" s="2" t="str">
        <v>-</v>
      </c>
    </row>
    <row r="159">
      <c r="A159" s="2" t="str">
        <v>01/05 ВС</v>
      </c>
      <c r="B159" s="2" t="str">
        <v>22:00</v>
      </c>
      <c r="C159" s="2" t="str">
        <v>БРАЗИЛИЯ БРАЗИЛИЯ</v>
      </c>
      <c r="D159" s="2" t="str">
        <v>Nova Venecia-Интернасьонал Лимейра</v>
      </c>
      <c r="E159" s="2" t="str">
        <v>-</v>
      </c>
      <c r="F159" s="2" t="str">
        <v>-</v>
      </c>
      <c r="G159" s="2" t="str">
        <v>-</v>
      </c>
    </row>
    <row r="160">
      <c r="A160" s="2" t="str">
        <v>01/05 ВС</v>
      </c>
      <c r="B160" s="2" t="str">
        <v>22:00</v>
      </c>
      <c r="C160" s="2" t="str">
        <v>БРАЗИЛИЯ БРАЗИЛИЯ</v>
      </c>
      <c r="D160" s="2" t="str">
        <v>Perolas Negras-Португеза РЖ</v>
      </c>
      <c r="E160" s="2" t="str">
        <v>-</v>
      </c>
      <c r="F160" s="2" t="str">
        <v>-</v>
      </c>
      <c r="G160" s="2" t="str">
        <v>-</v>
      </c>
    </row>
    <row r="161">
      <c r="A161" s="2" t="str">
        <v>01/05 ВС</v>
      </c>
      <c r="B161" s="2" t="str">
        <v>22:30</v>
      </c>
      <c r="C161" s="2" t="str">
        <v>БРАЗИЛИЯ БРАЗИЛИЯ</v>
      </c>
      <c r="D161" s="2" t="str">
        <v>Ипора-Коста-Рика</v>
      </c>
      <c r="E161" s="2" t="str">
        <v>-</v>
      </c>
      <c r="F161" s="2" t="str">
        <v>-</v>
      </c>
      <c r="G161" s="2" t="str">
        <v>-</v>
      </c>
    </row>
    <row r="162">
      <c r="A162" s="2" t="str">
        <v>01/05 ВС</v>
      </c>
      <c r="B162" s="2" t="str">
        <v>23:00</v>
      </c>
      <c r="C162" s="2" t="str">
        <v>БРАЗИЛИЯ БРАЗИЛИЯ</v>
      </c>
      <c r="D162" s="2" t="str">
        <v>Акао-Бразильенсе</v>
      </c>
      <c r="E162" s="2" t="str">
        <v>-</v>
      </c>
      <c r="F162" s="2" t="str">
        <v>-</v>
      </c>
      <c r="G162" s="2" t="str">
        <v>-</v>
      </c>
    </row>
    <row r="163">
      <c r="A163" s="2" t="str">
        <v>01/05 ВС</v>
      </c>
      <c r="B163" s="2" t="str">
        <v>23:00</v>
      </c>
      <c r="C163" s="2" t="str">
        <v>БРАЗИЛИЯ БРАЗИЛИЯ</v>
      </c>
      <c r="D163" s="2" t="str">
        <v>Алагоиньяс-Жакуипенсе</v>
      </c>
      <c r="E163" s="2" t="str">
        <v>-</v>
      </c>
      <c r="F163" s="2" t="str">
        <v>-</v>
      </c>
      <c r="G163" s="2" t="str">
        <v>-</v>
      </c>
    </row>
    <row r="164">
      <c r="A164" s="2" t="str">
        <v>01/05 ВС</v>
      </c>
      <c r="B164" s="2" t="str">
        <v>23:00</v>
      </c>
      <c r="C164" s="2" t="str">
        <v>БРАЗИЛИЯ БРАЗИЛИЯ</v>
      </c>
      <c r="D164" s="2" t="str">
        <v>АСА-Сержипи</v>
      </c>
      <c r="E164" s="2" t="str">
        <v>-</v>
      </c>
      <c r="F164" s="2" t="str">
        <v>-</v>
      </c>
      <c r="G164" s="2" t="str">
        <v>-</v>
      </c>
    </row>
    <row r="165">
      <c r="A165" s="2" t="str">
        <v>01/05 ВС</v>
      </c>
      <c r="B165" s="2" t="str">
        <v>23:00</v>
      </c>
      <c r="C165" s="2" t="str">
        <v>БРАЗИЛИЯ БРАЗИЛИЯ</v>
      </c>
      <c r="D165" s="2" t="str">
        <v>Гремио Ювентус-Проспера Крисиума</v>
      </c>
      <c r="E165" s="2" t="str">
        <v>-</v>
      </c>
      <c r="F165" s="2" t="str">
        <v>-</v>
      </c>
      <c r="G165" s="2" t="str">
        <v>-</v>
      </c>
    </row>
    <row r="166">
      <c r="A166" s="2" t="str">
        <v>01/05 ВС</v>
      </c>
      <c r="B166" s="2" t="str">
        <v>23:00</v>
      </c>
      <c r="C166" s="2" t="str">
        <v>БРАЗИЛИЯ БРАЗИЛИЯ</v>
      </c>
      <c r="D166" s="2" t="str">
        <v>Каскавел-Сан-Луис</v>
      </c>
      <c r="E166" s="2" t="str">
        <v>-</v>
      </c>
      <c r="F166" s="2" t="str">
        <v>-</v>
      </c>
      <c r="G166" s="2" t="str">
        <v>-</v>
      </c>
    </row>
    <row r="167">
      <c r="A167" s="2" t="str">
        <v>01/05 ВС</v>
      </c>
      <c r="B167" s="2" t="str">
        <v>23:00</v>
      </c>
      <c r="C167" s="2" t="str">
        <v>БРАЗИЛИЯ БРАЗИЛИЯ</v>
      </c>
      <c r="D167" s="2" t="str">
        <v>Лагарто-Сосьедад Эспортива</v>
      </c>
      <c r="E167" s="2" t="str">
        <v>-</v>
      </c>
      <c r="F167" s="2" t="str">
        <v>-</v>
      </c>
      <c r="G167" s="2" t="str">
        <v>-</v>
      </c>
    </row>
    <row r="168">
      <c r="A168" s="2" t="str">
        <v>01/05 ВС</v>
      </c>
      <c r="B168" s="2" t="str">
        <v>23:00</v>
      </c>
      <c r="C168" s="2" t="str">
        <v>БРАЗИЛИЯ БРАЗИЛИЯ</v>
      </c>
      <c r="D168" s="2" t="str">
        <v>Сан-Раймундо-Порту-Велью</v>
      </c>
      <c r="E168" s="2" t="str">
        <v>-</v>
      </c>
      <c r="F168" s="2" t="str">
        <v>-</v>
      </c>
      <c r="G168" s="2" t="str">
        <v>-</v>
      </c>
    </row>
    <row r="169">
      <c r="A169" s="2" t="str">
        <v>01/05 ВС</v>
      </c>
      <c r="B169" s="2" t="str">
        <v>00:00</v>
      </c>
      <c r="C169" s="2" t="str">
        <v>БРАЗИЛИЯ БРАЗИЛИЯ</v>
      </c>
      <c r="D169" s="2" t="str">
        <v>Ипиранга АП-Macapa</v>
      </c>
      <c r="E169" s="2" t="str">
        <v>-</v>
      </c>
      <c r="F169" s="2" t="str">
        <v>-</v>
      </c>
      <c r="G169" s="2" t="str">
        <v>-</v>
      </c>
    </row>
    <row r="170">
      <c r="A170" s="2" t="str">
        <v>01/05 ВС</v>
      </c>
      <c r="B170" s="2" t="str">
        <v>00:00</v>
      </c>
      <c r="C170" s="2" t="str">
        <v>БРАЗИЛИЯ БРАЗИЛИЯ</v>
      </c>
      <c r="D170" s="2" t="str">
        <v>Сан-Паулу-Сантос АП</v>
      </c>
      <c r="E170" s="2" t="str">
        <v>-</v>
      </c>
      <c r="F170" s="2" t="str">
        <v>-</v>
      </c>
      <c r="G170" s="2" t="str">
        <v>-</v>
      </c>
    </row>
    <row r="171" xml:space="preserve">
      <c r="A171" s="2" t="str">
        <v>01/05 ВС</v>
      </c>
      <c r="B171" s="2" t="str" xml:space="preserve">
        <v xml:space="preserve">22:00_x000d_
TKP</v>
      </c>
      <c r="C171" s="2" t="str">
        <v>БРАЗИЛИЯ БРАЗИЛИЯ</v>
      </c>
      <c r="D171" s="2" t="str">
        <v>Глория-Веранополис</v>
      </c>
      <c r="E171" s="2" t="str">
        <v>-</v>
      </c>
      <c r="F171" s="2" t="str">
        <v>-</v>
      </c>
      <c r="G171" s="2" t="str">
        <v>-</v>
      </c>
    </row>
    <row r="172" xml:space="preserve">
      <c r="A172" s="2" t="str">
        <v>01/05 ВС</v>
      </c>
      <c r="B172" s="2" t="str" xml:space="preserve">
        <v xml:space="preserve">22:00_x000d_
TKP</v>
      </c>
      <c r="C172" s="2" t="str">
        <v>БРАЗИЛИЯ БРАЗИЛИЯ</v>
      </c>
      <c r="D172" s="2" t="str">
        <v>Тупи-Бразил Фаррупилья</v>
      </c>
      <c r="E172" s="2" t="str">
        <v>-</v>
      </c>
      <c r="F172" s="2" t="str">
        <v>-</v>
      </c>
      <c r="G172" s="2" t="str">
        <v>-</v>
      </c>
    </row>
    <row r="173" xml:space="preserve">
      <c r="A173" s="2" t="str">
        <v>01/05 ВС</v>
      </c>
      <c r="B173" s="2" t="str" xml:space="preserve">
        <v xml:space="preserve">22:30_x000d_
TKP</v>
      </c>
      <c r="C173" s="2" t="str">
        <v>БРАЗИЛИЯ БРАЗИЛИЯ</v>
      </c>
      <c r="D173" s="2" t="str">
        <v>Гуарани-Сан-Габриэл</v>
      </c>
      <c r="E173" s="2" t="str">
        <v>-</v>
      </c>
      <c r="F173" s="2" t="str">
        <v>-</v>
      </c>
      <c r="G173" s="2" t="str">
        <v>-</v>
      </c>
    </row>
    <row r="174" xml:space="preserve">
      <c r="A174" s="2" t="str">
        <v>01/05 ВС</v>
      </c>
      <c r="B174" s="2" t="str" xml:space="preserve">
        <v xml:space="preserve">22:30_x000d_
TKP</v>
      </c>
      <c r="C174" s="2" t="str">
        <v>БРАЗИЛИЯ БРАЗИЛИЯ</v>
      </c>
      <c r="D174" s="2" t="str">
        <v>Пелотас-Лажеаденсе</v>
      </c>
      <c r="E174" s="2" t="str">
        <v>-</v>
      </c>
      <c r="F174" s="2" t="str">
        <v>-</v>
      </c>
      <c r="G174" s="2" t="str">
        <v>-</v>
      </c>
    </row>
    <row r="175" xml:space="preserve">
      <c r="A175" s="2" t="str">
        <v>01/05 ВС</v>
      </c>
      <c r="B175" s="2" t="str" xml:space="preserve">
        <v xml:space="preserve">22:30_x000d_
TKP</v>
      </c>
      <c r="C175" s="2" t="str">
        <v>БРАЗИЛИЯ БРАЗИЛИЯ</v>
      </c>
      <c r="D175" s="2" t="str">
        <v>СК Сан-Паулу-Санта Круз РС</v>
      </c>
      <c r="E175" s="2" t="str">
        <v>-</v>
      </c>
      <c r="F175" s="2" t="str">
        <v>-</v>
      </c>
      <c r="G175" s="2" t="str">
        <v>-</v>
      </c>
    </row>
    <row r="176" xml:space="preserve">
      <c r="A176" s="2" t="str">
        <v>01/05 ВС</v>
      </c>
      <c r="B176" s="2" t="str" xml:space="preserve">
        <v xml:space="preserve">01:30_x000d_
TKP</v>
      </c>
      <c r="C176" s="2" t="str">
        <v>БРАЗИЛИЯ БРАЗИЛИЯ</v>
      </c>
      <c r="D176" s="2" t="str">
        <v>Uberaba-Бетим</v>
      </c>
      <c r="E176" s="2" t="str">
        <v>-</v>
      </c>
      <c r="F176" s="2" t="str">
        <v>-</v>
      </c>
      <c r="G176" s="2" t="str">
        <v>-</v>
      </c>
    </row>
    <row r="177" xml:space="preserve">
      <c r="A177" s="2" t="str">
        <v>01/05 ВС</v>
      </c>
      <c r="B177" s="2" t="str" xml:space="preserve">
        <v xml:space="preserve">18:00_x000d_
TKP</v>
      </c>
      <c r="C177" s="2" t="str">
        <v>БРАЗИЛИЯ БРАЗИЛИЯ</v>
      </c>
      <c r="D177" s="2" t="str">
        <v>Тупи-МГ-Тупинамбас</v>
      </c>
      <c r="E177" s="2" t="str">
        <v>-</v>
      </c>
      <c r="F177" s="2" t="str">
        <v>-</v>
      </c>
      <c r="G177" s="2" t="str">
        <v>-</v>
      </c>
    </row>
    <row r="178" xml:space="preserve">
      <c r="A178" s="2" t="str">
        <v>01/05 ВС</v>
      </c>
      <c r="B178" s="2" t="str" xml:space="preserve">
        <v xml:space="preserve">00:30_x000d_
TKP</v>
      </c>
      <c r="C178" s="2" t="str">
        <v>БРАЗИЛИЯ БРАЗИЛИЯ</v>
      </c>
      <c r="D178" s="2" t="str">
        <v>Флуминенсе ПИ-Парнахиба</v>
      </c>
      <c r="E178" s="2" t="str">
        <v>-</v>
      </c>
      <c r="F178" s="2" t="str">
        <v>-</v>
      </c>
      <c r="G178" s="2" t="str">
        <v>-</v>
      </c>
    </row>
    <row r="179" xml:space="preserve">
      <c r="A179" s="2" t="str">
        <v>01/05 ВС</v>
      </c>
      <c r="B179" s="2" t="str" xml:space="preserve">
        <v xml:space="preserve">03:00_x000d_
TKP</v>
      </c>
      <c r="C179" s="2" t="str">
        <v>БРАЗИЛИЯ БРАЗИЛИЯ</v>
      </c>
      <c r="D179" s="2" t="str">
        <v>Униан Какоаленсе-Реал Арикемес</v>
      </c>
      <c r="E179" s="2" t="str">
        <v>-</v>
      </c>
      <c r="F179" s="2" t="str">
        <v>-</v>
      </c>
      <c r="G179" s="2" t="str">
        <v>-</v>
      </c>
    </row>
    <row r="180">
      <c r="A180" s="2" t="str">
        <v>01/05 ВС</v>
      </c>
      <c r="B180" s="2" t="str">
        <v>04:00</v>
      </c>
      <c r="C180" s="2" t="str">
        <v>БРАЗИЛИЯ БРАЗИЛИЯ</v>
      </c>
      <c r="D180" s="2" t="str">
        <v>Палмейрас-Жуазейренсе</v>
      </c>
      <c r="E180" s="2" t="str">
        <v>1.10</v>
      </c>
      <c r="F180" s="2" t="str">
        <v>8.00</v>
      </c>
      <c r="G180" s="2" t="str">
        <v>21.00</v>
      </c>
    </row>
    <row r="181">
      <c r="A181" s="2" t="str">
        <v>01/05 ВС</v>
      </c>
      <c r="B181" s="2" t="str">
        <v>18:00</v>
      </c>
      <c r="C181" s="2" t="str">
        <v>БРАЗИЛИЯ БРАЗИЛИЯ</v>
      </c>
      <c r="D181" s="2" t="str">
        <v>Коринтианс (Ж)-Ферровиария (Ж)</v>
      </c>
      <c r="E181" s="2" t="str">
        <v>-</v>
      </c>
      <c r="F181" s="2" t="str">
        <v>-</v>
      </c>
      <c r="G181" s="2" t="str">
        <v>-</v>
      </c>
    </row>
    <row r="182">
      <c r="A182" s="2" t="str">
        <v>01/05 ВС</v>
      </c>
      <c r="B182" s="2" t="str">
        <v>22:00</v>
      </c>
      <c r="C182" s="2" t="str">
        <v>БРАЗИЛИЯ БРАЗИЛИЯ</v>
      </c>
      <c r="D182" s="2" t="str">
        <v>Реал Бразилиа (Ж)-Аваи Киндерманн (Ж)</v>
      </c>
      <c r="E182" s="2" t="str">
        <v>-</v>
      </c>
      <c r="F182" s="2" t="str">
        <v>-</v>
      </c>
      <c r="G182" s="2" t="str">
        <v>-</v>
      </c>
    </row>
    <row r="183">
      <c r="A183" s="2" t="str">
        <v>01/05 ВС</v>
      </c>
      <c r="B183" s="2" t="str">
        <v>22:00</v>
      </c>
      <c r="C183" s="2" t="str">
        <v>БРАЗИЛИЯ БРАЗИЛИЯ</v>
      </c>
      <c r="D183" s="2" t="str">
        <v>Сан-Паулу (Ж)-Брагантино (Ж)</v>
      </c>
      <c r="E183" s="2" t="str">
        <v>-</v>
      </c>
      <c r="F183" s="2" t="str">
        <v>-</v>
      </c>
      <c r="G183" s="2" t="str">
        <v>-</v>
      </c>
    </row>
    <row r="184">
      <c r="A184" s="2" t="str">
        <v>01/05 ВС</v>
      </c>
      <c r="B184" s="2" t="str">
        <v>22:00</v>
      </c>
      <c r="C184" s="2" t="str">
        <v>БРАЗИЛИЯ БРАЗИЛИЯ</v>
      </c>
      <c r="D184" s="2" t="str">
        <v>Фламенго (Ж)-Эсмак (Ж)</v>
      </c>
      <c r="E184" s="2" t="str">
        <v>-</v>
      </c>
      <c r="F184" s="2" t="str">
        <v>-</v>
      </c>
      <c r="G184" s="2" t="str">
        <v>-</v>
      </c>
    </row>
    <row r="185">
      <c r="A185" s="2" t="str">
        <v>01/05 ВС</v>
      </c>
      <c r="B185" s="2" t="str">
        <v>20:00</v>
      </c>
      <c r="C185" s="2" t="str">
        <v>БУРКИНА-ФАСО БУРКИНА-ФАСО</v>
      </c>
      <c r="D185" s="2" t="str">
        <v>Бобо-Диуласо-УСФА</v>
      </c>
      <c r="E185" s="2" t="str">
        <v>-</v>
      </c>
      <c r="F185" s="2" t="str">
        <v>-</v>
      </c>
      <c r="G185" s="2" t="str">
        <v>-</v>
      </c>
    </row>
    <row r="186">
      <c r="A186" s="2" t="str">
        <v>01/05 ВС</v>
      </c>
      <c r="B186" s="2" t="str">
        <v>20:00</v>
      </c>
      <c r="C186" s="2" t="str">
        <v>БУРКИНА-ФАСО БУРКИНА-ФАСО</v>
      </c>
      <c r="D186" s="2" t="str">
        <v>Кадиого-Витесс</v>
      </c>
      <c r="E186" s="2" t="str">
        <v>-</v>
      </c>
      <c r="F186" s="2" t="str">
        <v>-</v>
      </c>
      <c r="G186" s="2" t="str">
        <v>-</v>
      </c>
    </row>
    <row r="187">
      <c r="A187" s="2" t="str">
        <v>01/05 ВС</v>
      </c>
      <c r="B187" s="2" t="str">
        <v>22:15</v>
      </c>
      <c r="C187" s="2" t="str">
        <v>БУРКИНА-ФАСО БУРКИНА-ФАСО</v>
      </c>
      <c r="D187" s="2" t="str">
        <v>Сонабель Уагадугу-Koupela</v>
      </c>
      <c r="E187" s="2" t="str">
        <v>-</v>
      </c>
      <c r="F187" s="2" t="str">
        <v>-</v>
      </c>
      <c r="G187" s="2" t="str">
        <v>-</v>
      </c>
    </row>
    <row r="188">
      <c r="A188" s="2" t="str">
        <v>01/05 ВС</v>
      </c>
      <c r="B188" s="2" t="str">
        <v>16:30</v>
      </c>
      <c r="C188" s="2" t="str">
        <v>ВЕНГРИЯ ВЕНГРИЯ</v>
      </c>
      <c r="D188" s="2" t="str">
        <v>Залаэгерсег-МТК Будапешт</v>
      </c>
      <c r="E188" s="2" t="str">
        <v>2.05</v>
      </c>
      <c r="F188" s="2" t="str">
        <v>3.50</v>
      </c>
      <c r="G188" s="2" t="str">
        <v>3.60</v>
      </c>
    </row>
    <row r="189">
      <c r="A189" s="2" t="str">
        <v>01/05 ВС</v>
      </c>
      <c r="B189" s="2" t="str">
        <v>19:00</v>
      </c>
      <c r="C189" s="2" t="str">
        <v>ВЕНГРИЯ ВЕНГРИЯ</v>
      </c>
      <c r="D189" s="2" t="str">
        <v>Уйпешт-Дьирмот</v>
      </c>
      <c r="E189" s="2" t="str">
        <v>1.55</v>
      </c>
      <c r="F189" s="2" t="str">
        <v>4.00</v>
      </c>
      <c r="G189" s="2" t="str">
        <v>6.50</v>
      </c>
    </row>
    <row r="190">
      <c r="A190" s="2" t="str">
        <v>01/05 ВС</v>
      </c>
      <c r="B190" s="2" t="str">
        <v>19:00</v>
      </c>
      <c r="C190" s="2" t="str">
        <v>ВЕНГРИЯ ВЕНГРИЯ</v>
      </c>
      <c r="D190" s="2" t="str">
        <v>Будайорш-Диошдьёри ВТК</v>
      </c>
      <c r="E190" s="2" t="str">
        <v>-</v>
      </c>
      <c r="F190" s="2" t="str">
        <v>-</v>
      </c>
      <c r="G190" s="2" t="str">
        <v>-</v>
      </c>
    </row>
    <row r="191">
      <c r="A191" s="2" t="str">
        <v>01/05 ВС</v>
      </c>
      <c r="B191" s="2" t="str">
        <v>19:00</v>
      </c>
      <c r="C191" s="2" t="str">
        <v>ВЕНГРИЯ ВЕНГРИЯ</v>
      </c>
      <c r="D191" s="2" t="str">
        <v>Будафоки-Ньиредьгаза</v>
      </c>
      <c r="E191" s="2" t="str">
        <v>-</v>
      </c>
      <c r="F191" s="2" t="str">
        <v>-</v>
      </c>
      <c r="G191" s="2" t="str">
        <v>-</v>
      </c>
    </row>
    <row r="192">
      <c r="A192" s="2" t="str">
        <v>01/05 ВС</v>
      </c>
      <c r="B192" s="2" t="str">
        <v>19:00</v>
      </c>
      <c r="C192" s="2" t="str">
        <v>ВЕНГРИЯ ВЕНГРИЯ</v>
      </c>
      <c r="D192" s="2" t="str">
        <v>Дороги-Кечкемет</v>
      </c>
      <c r="E192" s="2" t="str">
        <v>-</v>
      </c>
      <c r="F192" s="2" t="str">
        <v>-</v>
      </c>
      <c r="G192" s="2" t="str">
        <v>-</v>
      </c>
    </row>
    <row r="193">
      <c r="A193" s="2" t="str">
        <v>01/05 ВС</v>
      </c>
      <c r="B193" s="2" t="str">
        <v>19:00</v>
      </c>
      <c r="C193" s="2" t="str">
        <v>ВЕНГРИЯ ВЕНГРИЯ</v>
      </c>
      <c r="D193" s="2" t="str">
        <v>Сегед-Сольнок</v>
      </c>
      <c r="E193" s="2" t="str">
        <v>-</v>
      </c>
      <c r="F193" s="2" t="str">
        <v>-</v>
      </c>
      <c r="G193" s="2" t="str">
        <v>-</v>
      </c>
    </row>
    <row r="194">
      <c r="A194" s="2" t="str">
        <v>01/05 ВС</v>
      </c>
      <c r="B194" s="2" t="str">
        <v>19:00</v>
      </c>
      <c r="C194" s="2" t="str">
        <v>ВЕНГРИЯ ВЕНГРИЯ</v>
      </c>
      <c r="D194" s="2" t="str">
        <v>Сентлоринц-Чаквари</v>
      </c>
      <c r="E194" s="2" t="str">
        <v>-</v>
      </c>
      <c r="F194" s="2" t="str">
        <v>-</v>
      </c>
      <c r="G194" s="2" t="str">
        <v>-</v>
      </c>
    </row>
    <row r="195">
      <c r="A195" s="2" t="str">
        <v>01/05 ВС</v>
      </c>
      <c r="B195" s="2" t="str">
        <v>19:00</v>
      </c>
      <c r="C195" s="2" t="str">
        <v>ВЕНГРИЯ ВЕНГРИЯ</v>
      </c>
      <c r="D195" s="2" t="str">
        <v>Тисакечке-Шиофок</v>
      </c>
      <c r="E195" s="2" t="str">
        <v>-</v>
      </c>
      <c r="F195" s="2" t="str">
        <v>-</v>
      </c>
      <c r="G195" s="2" t="str">
        <v>-</v>
      </c>
    </row>
    <row r="196">
      <c r="A196" s="2" t="str">
        <v>01/05 ВС</v>
      </c>
      <c r="B196" s="2" t="str">
        <v>19:00</v>
      </c>
      <c r="C196" s="2" t="str">
        <v>ВЕНГРИЯ ВЕНГРИЯ</v>
      </c>
      <c r="D196" s="2" t="str">
        <v>Шорокшар-Айка</v>
      </c>
      <c r="E196" s="2" t="str">
        <v>-</v>
      </c>
      <c r="F196" s="2" t="str">
        <v>-</v>
      </c>
      <c r="G196" s="2" t="str">
        <v>-</v>
      </c>
    </row>
    <row r="197">
      <c r="A197" s="2" t="str">
        <v>01/05 ВС</v>
      </c>
      <c r="B197" s="2" t="str">
        <v>19:00</v>
      </c>
      <c r="C197" s="2" t="str">
        <v>ВЕНГРИЯ ВЕНГРИЯ</v>
      </c>
      <c r="D197" s="2" t="str">
        <v>III. керулети ТУЭ УПЕ-Печ</v>
      </c>
      <c r="E197" s="2" t="str">
        <v>-</v>
      </c>
      <c r="F197" s="2" t="str">
        <v>-</v>
      </c>
      <c r="G197" s="2" t="str">
        <v>-</v>
      </c>
    </row>
    <row r="198">
      <c r="A198" s="2" t="str">
        <v>01/05 ВС</v>
      </c>
      <c r="B198" s="2" t="str">
        <v>13:00</v>
      </c>
      <c r="C198" s="2" t="str">
        <v>ВЕНГРИЯ ВЕНГРИЯ</v>
      </c>
      <c r="D198" s="2" t="str">
        <v>Уйпешт II-Путнок</v>
      </c>
      <c r="E198" s="2" t="str">
        <v>-</v>
      </c>
      <c r="F198" s="2" t="str">
        <v>-</v>
      </c>
      <c r="G198" s="2" t="str">
        <v>-</v>
      </c>
    </row>
    <row r="199">
      <c r="A199" s="2" t="str">
        <v>01/05 ВС</v>
      </c>
      <c r="B199" s="2" t="str">
        <v>14:00</v>
      </c>
      <c r="C199" s="2" t="str">
        <v>ВЕНГРИЯ ВЕНГРИЯ</v>
      </c>
      <c r="D199" s="2" t="str">
        <v>Бекешчаба II-Эльоре</v>
      </c>
      <c r="E199" s="2" t="str">
        <v>-</v>
      </c>
      <c r="F199" s="2" t="str">
        <v>-</v>
      </c>
      <c r="G199" s="2" t="str">
        <v>-</v>
      </c>
    </row>
    <row r="200">
      <c r="A200" s="2" t="str">
        <v>01/05 ВС</v>
      </c>
      <c r="B200" s="2" t="str">
        <v>16:00</v>
      </c>
      <c r="C200" s="2" t="str">
        <v>ВЕНГРИЯ ВЕНГРИЯ</v>
      </c>
      <c r="D200" s="2" t="str">
        <v>Дебрецен II-Ясбереньи</v>
      </c>
      <c r="E200" s="2" t="str">
        <v>-</v>
      </c>
      <c r="F200" s="2" t="str">
        <v>-</v>
      </c>
      <c r="G200" s="2" t="str">
        <v>-</v>
      </c>
    </row>
    <row r="201">
      <c r="A201" s="2" t="str">
        <v>01/05 ВС</v>
      </c>
      <c r="B201" s="2" t="str">
        <v>19:00</v>
      </c>
      <c r="C201" s="2" t="str">
        <v>ВЕНГРИЯ ВЕНГРИЯ</v>
      </c>
      <c r="D201" s="2" t="str">
        <v>Казинцбарцикай-Кишварда II</v>
      </c>
      <c r="E201" s="2" t="str">
        <v>-</v>
      </c>
      <c r="F201" s="2" t="str">
        <v>-</v>
      </c>
      <c r="G201" s="2" t="str">
        <v>-</v>
      </c>
    </row>
    <row r="202">
      <c r="A202" s="2" t="str">
        <v>01/05 ВС</v>
      </c>
      <c r="B202" s="2" t="str">
        <v>19:00</v>
      </c>
      <c r="C202" s="2" t="str">
        <v>ВЕНГРИЯ ВЕНГРИЯ</v>
      </c>
      <c r="D202" s="2" t="str">
        <v>Сенио Карнифекс-Тёрёксентмиклош</v>
      </c>
      <c r="E202" s="2" t="str">
        <v>-</v>
      </c>
      <c r="F202" s="2" t="str">
        <v>-</v>
      </c>
      <c r="G202" s="2" t="str">
        <v>-</v>
      </c>
    </row>
    <row r="203">
      <c r="A203" s="2" t="str">
        <v>01/05 ВС</v>
      </c>
      <c r="B203" s="2" t="str">
        <v>19:00</v>
      </c>
      <c r="C203" s="2" t="str">
        <v>ВЕНГРИЯ ВЕНГРИЯ</v>
      </c>
      <c r="D203" s="2" t="str">
        <v>Тайа-Хидаснемети</v>
      </c>
      <c r="E203" s="2" t="str">
        <v>-</v>
      </c>
      <c r="F203" s="2" t="str">
        <v>-</v>
      </c>
      <c r="G203" s="2" t="str">
        <v>-</v>
      </c>
    </row>
    <row r="204">
      <c r="A204" s="2" t="str">
        <v>01/05 ВС</v>
      </c>
      <c r="B204" s="2" t="str">
        <v>19:00</v>
      </c>
      <c r="C204" s="2" t="str">
        <v>ВЕНГРИЯ ВЕНГРИЯ</v>
      </c>
      <c r="D204" s="2" t="str">
        <v>Тисафюреди-ДЕАЦ</v>
      </c>
      <c r="E204" s="2" t="str">
        <v>-</v>
      </c>
      <c r="F204" s="2" t="str">
        <v>-</v>
      </c>
      <c r="G204" s="2" t="str">
        <v>-</v>
      </c>
    </row>
    <row r="205">
      <c r="A205" s="2" t="str">
        <v>01/05 ВС</v>
      </c>
      <c r="B205" s="2" t="str">
        <v>19:00</v>
      </c>
      <c r="C205" s="2" t="str">
        <v>ВЕНГРИЯ ВЕНГРИЯ</v>
      </c>
      <c r="D205" s="2" t="str">
        <v>Фюзешьярмат-Тисауйварош</v>
      </c>
      <c r="E205" s="2" t="str">
        <v>-</v>
      </c>
      <c r="F205" s="2" t="str">
        <v>-</v>
      </c>
      <c r="G205" s="2" t="str">
        <v>-</v>
      </c>
    </row>
    <row r="206">
      <c r="A206" s="2" t="str">
        <v>01/05 ВС</v>
      </c>
      <c r="B206" s="2" t="str">
        <v>19:00</v>
      </c>
      <c r="C206" s="2" t="str">
        <v>ВЕНГРИЯ ВЕНГРИЯ</v>
      </c>
      <c r="D206" s="2" t="str">
        <v>Хайдусобосло-Эгер СЕ</v>
      </c>
      <c r="E206" s="2" t="str">
        <v>-</v>
      </c>
      <c r="F206" s="2" t="str">
        <v>-</v>
      </c>
      <c r="G206" s="2" t="str">
        <v>-</v>
      </c>
    </row>
    <row r="207">
      <c r="A207" s="2" t="str">
        <v>01/05 ВС</v>
      </c>
      <c r="B207" s="2" t="str">
        <v>19:00</v>
      </c>
      <c r="C207" s="2" t="str">
        <v>ВЕНГРИЯ ВЕНГРИЯ</v>
      </c>
      <c r="D207" s="2" t="str">
        <v>Шальготарьяни-Диошдьёри ВТК II</v>
      </c>
      <c r="E207" s="2" t="str">
        <v>-</v>
      </c>
      <c r="F207" s="2" t="str">
        <v>-</v>
      </c>
      <c r="G207" s="2" t="str">
        <v>-</v>
      </c>
    </row>
    <row r="208">
      <c r="A208" s="2" t="str">
        <v>01/05 ВС</v>
      </c>
      <c r="B208" s="2" t="str">
        <v>13:00</v>
      </c>
      <c r="C208" s="2" t="str">
        <v>ВЕНГРИЯ ВЕНГРИЯ</v>
      </c>
      <c r="D208" s="2" t="str">
        <v>Пакш II-Цеглед</v>
      </c>
      <c r="E208" s="2" t="str">
        <v>-</v>
      </c>
      <c r="F208" s="2" t="str">
        <v>-</v>
      </c>
      <c r="G208" s="2" t="str">
        <v>-</v>
      </c>
    </row>
    <row r="209">
      <c r="A209" s="2" t="str">
        <v>01/05 ВС</v>
      </c>
      <c r="B209" s="2" t="str">
        <v>19:00</v>
      </c>
      <c r="C209" s="2" t="str">
        <v>ВЕНГРИЯ ВЕНГРИЯ</v>
      </c>
      <c r="D209" s="2" t="str">
        <v>Балашшадьярмат-Гонвед II</v>
      </c>
      <c r="E209" s="2" t="str">
        <v>-</v>
      </c>
      <c r="F209" s="2" t="str">
        <v>-</v>
      </c>
      <c r="G209" s="2" t="str">
        <v>-</v>
      </c>
    </row>
    <row r="210">
      <c r="A210" s="2" t="str">
        <v>01/05 ВС</v>
      </c>
      <c r="B210" s="2" t="str">
        <v>19:00</v>
      </c>
      <c r="C210" s="2" t="str">
        <v>ВЕНГРИЯ ВЕНГРИЯ</v>
      </c>
      <c r="D210" s="2" t="str">
        <v>Вац-Дунауйварош Пальхальмаи</v>
      </c>
      <c r="E210" s="2" t="str">
        <v>-</v>
      </c>
      <c r="F210" s="2" t="str">
        <v>-</v>
      </c>
      <c r="G210" s="2" t="str">
        <v>-</v>
      </c>
    </row>
    <row r="211">
      <c r="A211" s="2" t="str">
        <v>01/05 ВС</v>
      </c>
      <c r="B211" s="2" t="str">
        <v>19:00</v>
      </c>
      <c r="C211" s="2" t="str">
        <v>ВЕНГРИЯ ВЕНГРИЯ</v>
      </c>
      <c r="D211" s="2" t="str">
        <v>Дабас-Дьен-Мохач</v>
      </c>
      <c r="E211" s="2" t="str">
        <v>-</v>
      </c>
      <c r="F211" s="2" t="str">
        <v>-</v>
      </c>
      <c r="G211" s="2" t="str">
        <v>-</v>
      </c>
    </row>
    <row r="212">
      <c r="A212" s="2" t="str">
        <v>01/05 ВС</v>
      </c>
      <c r="B212" s="2" t="str">
        <v>19:00</v>
      </c>
      <c r="C212" s="2" t="str">
        <v>ВЕНГРИЯ ВЕНГРИЯ</v>
      </c>
      <c r="D212" s="2" t="str">
        <v>Иванча-Козармишлень</v>
      </c>
      <c r="E212" s="2" t="str">
        <v>-</v>
      </c>
      <c r="F212" s="2" t="str">
        <v>-</v>
      </c>
      <c r="G212" s="2" t="str">
        <v>-</v>
      </c>
    </row>
    <row r="213">
      <c r="A213" s="2" t="str">
        <v>01/05 ВС</v>
      </c>
      <c r="B213" s="2" t="str">
        <v>19:00</v>
      </c>
      <c r="C213" s="2" t="str">
        <v>ВЕНГРИЯ ВЕНГРИЯ</v>
      </c>
      <c r="D213" s="2" t="str">
        <v>Макой-Дабаш</v>
      </c>
      <c r="E213" s="2" t="str">
        <v>-</v>
      </c>
      <c r="F213" s="2" t="str">
        <v>-</v>
      </c>
      <c r="G213" s="2" t="str">
        <v>-</v>
      </c>
    </row>
    <row r="214">
      <c r="A214" s="2" t="str">
        <v>01/05 ВС</v>
      </c>
      <c r="B214" s="2" t="str">
        <v>19:00</v>
      </c>
      <c r="C214" s="2" t="str">
        <v>ВЕНГРИЯ ВЕНГРИЯ</v>
      </c>
      <c r="D214" s="2" t="str">
        <v>МТК II-Ходмезовашархей</v>
      </c>
      <c r="E214" s="2" t="str">
        <v>-</v>
      </c>
      <c r="F214" s="2" t="str">
        <v>-</v>
      </c>
      <c r="G214" s="2" t="str">
        <v>-</v>
      </c>
    </row>
    <row r="215">
      <c r="A215" s="2" t="str">
        <v>01/05 ВС</v>
      </c>
      <c r="B215" s="2" t="str">
        <v>19:00</v>
      </c>
      <c r="C215" s="2" t="str">
        <v>ВЕНГРИЯ ВЕНГРИЯ</v>
      </c>
      <c r="D215" s="2" t="str">
        <v>Ракошменти КСК-Сексарди</v>
      </c>
      <c r="E215" s="2" t="str">
        <v>-</v>
      </c>
      <c r="F215" s="2" t="str">
        <v>-</v>
      </c>
      <c r="G215" s="2" t="str">
        <v>-</v>
      </c>
    </row>
    <row r="216">
      <c r="A216" s="2" t="str">
        <v>01/05 ВС</v>
      </c>
      <c r="B216" s="2" t="str">
        <v>13:00</v>
      </c>
      <c r="C216" s="2" t="str">
        <v>ВЕНГРИЯ ВЕНГРИЯ</v>
      </c>
      <c r="D216" s="2" t="str">
        <v>Веспрем-Андрашхида</v>
      </c>
      <c r="E216" s="2" t="str">
        <v>-</v>
      </c>
      <c r="F216" s="2" t="str">
        <v>-</v>
      </c>
      <c r="G216" s="2" t="str">
        <v>-</v>
      </c>
    </row>
    <row r="217">
      <c r="A217" s="2" t="str">
        <v>01/05 ВС</v>
      </c>
      <c r="B217" s="2" t="str">
        <v>13:00</v>
      </c>
      <c r="C217" s="2" t="str">
        <v>ВЕНГРИЯ ВЕНГРИЯ</v>
      </c>
      <c r="D217" s="2" t="str">
        <v>Дьирмот II-Кёлен</v>
      </c>
      <c r="E217" s="2" t="str">
        <v>-</v>
      </c>
      <c r="F217" s="2" t="str">
        <v>-</v>
      </c>
      <c r="G217" s="2" t="str">
        <v>-</v>
      </c>
    </row>
    <row r="218">
      <c r="A218" s="2" t="str">
        <v>01/05 ВС</v>
      </c>
      <c r="B218" s="2" t="str">
        <v>13:00</v>
      </c>
      <c r="C218" s="2" t="str">
        <v>ВЕНГРИЯ ВЕНГРИЯ</v>
      </c>
      <c r="D218" s="2" t="str">
        <v>МОЛ Фехервар II-БВСК Зугло</v>
      </c>
      <c r="E218" s="2" t="str">
        <v>-</v>
      </c>
      <c r="F218" s="2" t="str">
        <v>-</v>
      </c>
      <c r="G218" s="2" t="str">
        <v>-</v>
      </c>
    </row>
    <row r="219">
      <c r="A219" s="2" t="str">
        <v>01/05 ВС</v>
      </c>
      <c r="B219" s="2" t="str">
        <v>13:00</v>
      </c>
      <c r="C219" s="2" t="str">
        <v>ВЕНГРИЯ ВЕНГРИЯ</v>
      </c>
      <c r="D219" s="2" t="str">
        <v>Пушкаш Академи II-Татабанья</v>
      </c>
      <c r="E219" s="2" t="str">
        <v>-</v>
      </c>
      <c r="F219" s="2" t="str">
        <v>-</v>
      </c>
      <c r="G219" s="2" t="str">
        <v>-</v>
      </c>
    </row>
    <row r="220">
      <c r="A220" s="2" t="str">
        <v>01/05 ВС</v>
      </c>
      <c r="B220" s="2" t="str">
        <v>19:00</v>
      </c>
      <c r="C220" s="2" t="str">
        <v>ВЕНГРИЯ ВЕНГРИЯ</v>
      </c>
      <c r="D220" s="2" t="str">
        <v>Гардони Вароши-Шопрон</v>
      </c>
      <c r="E220" s="2" t="str">
        <v>-</v>
      </c>
      <c r="F220" s="2" t="str">
        <v>-</v>
      </c>
      <c r="G220" s="2" t="str">
        <v>-</v>
      </c>
    </row>
    <row r="221">
      <c r="A221" s="2" t="str">
        <v>01/05 ВС</v>
      </c>
      <c r="B221" s="2" t="str">
        <v>19:00</v>
      </c>
      <c r="C221" s="2" t="str">
        <v>ВЕНГРИЯ ВЕНГРИЯ</v>
      </c>
      <c r="D221" s="2" t="str">
        <v>Комаром ВСЕ-Надьканижа</v>
      </c>
      <c r="E221" s="2" t="str">
        <v>-</v>
      </c>
      <c r="F221" s="2" t="str">
        <v>-</v>
      </c>
      <c r="G221" s="2" t="str">
        <v>-</v>
      </c>
    </row>
    <row r="222">
      <c r="A222" s="2" t="str">
        <v>01/05 ВС</v>
      </c>
      <c r="B222" s="2" t="str">
        <v>19:00</v>
      </c>
      <c r="C222" s="2" t="str">
        <v>ВЕНГРИЯ ВЕНГРИЯ</v>
      </c>
      <c r="D222" s="2" t="str">
        <v>Эрди-Капошвар</v>
      </c>
      <c r="E222" s="2" t="str">
        <v>-</v>
      </c>
      <c r="F222" s="2" t="str">
        <v>-</v>
      </c>
      <c r="G222" s="2" t="str">
        <v>-</v>
      </c>
    </row>
    <row r="223">
      <c r="A223" s="2" t="str">
        <v>01/05 ВС</v>
      </c>
      <c r="B223" s="2" t="str">
        <v>20:00</v>
      </c>
      <c r="C223" s="2" t="str">
        <v>ВЕНГРИЯ ВЕНГРИЯ</v>
      </c>
      <c r="D223" s="2" t="str">
        <v>Бичке-Балатонфуреди</v>
      </c>
      <c r="E223" s="2" t="str">
        <v>-</v>
      </c>
      <c r="F223" s="2" t="str">
        <v>-</v>
      </c>
      <c r="G223" s="2" t="str">
        <v>-</v>
      </c>
    </row>
    <row r="224" xml:space="preserve">
      <c r="A224" s="2" t="str">
        <v>01/05 ВС</v>
      </c>
      <c r="B224" s="2" t="str" xml:space="preserve">
        <v xml:space="preserve">18:00_x000d_
TKP</v>
      </c>
      <c r="C224" s="2" t="str">
        <v>ВЕНГРИЯ ВЕНГРИЯ</v>
      </c>
      <c r="D224" s="2" t="str">
        <v>Пушкаш Академи (Ж)-Шорокшар (Ж)</v>
      </c>
      <c r="E224" s="2" t="str">
        <v>-</v>
      </c>
      <c r="F224" s="2" t="str">
        <v>-</v>
      </c>
      <c r="G224" s="2" t="str">
        <v>-</v>
      </c>
    </row>
    <row r="225" xml:space="preserve">
      <c r="A225" s="2" t="str">
        <v>01/05 ВС</v>
      </c>
      <c r="B225" s="2" t="str" xml:space="preserve">
        <v xml:space="preserve">19:00_x000d_
TKP</v>
      </c>
      <c r="C225" s="2" t="str">
        <v>ВЕНГРИЯ ВЕНГРИЯ</v>
      </c>
      <c r="D225" s="2" t="str">
        <v>Астра (Ж)-МТК Хунгария (Ж)</v>
      </c>
      <c r="E225" s="2" t="str">
        <v>-</v>
      </c>
      <c r="F225" s="2" t="str">
        <v>-</v>
      </c>
      <c r="G225" s="2" t="str">
        <v>-</v>
      </c>
    </row>
    <row r="226" xml:space="preserve">
      <c r="A226" s="2" t="str">
        <v>01/05 ВС</v>
      </c>
      <c r="B226" s="2" t="str" xml:space="preserve">
        <v xml:space="preserve">21:15_x000d_
TKP</v>
      </c>
      <c r="C226" s="2" t="str">
        <v>ВЕНГРИЯ ВЕНГРИЯ</v>
      </c>
      <c r="D226" s="2" t="str">
        <v>Дьер (Ж)-Ференцварош (Ж)</v>
      </c>
      <c r="E226" s="2" t="str">
        <v>-</v>
      </c>
      <c r="F226" s="2" t="str">
        <v>-</v>
      </c>
      <c r="G226" s="2" t="str">
        <v>-</v>
      </c>
    </row>
    <row r="227">
      <c r="A227" s="2" t="str">
        <v>01/05 ВС</v>
      </c>
      <c r="B227" s="2" t="str">
        <v>01:15</v>
      </c>
      <c r="C227" s="2" t="str">
        <v>ВЕНЕСУЭЛА ВЕНЕСУЭЛА</v>
      </c>
      <c r="D227" s="2" t="str">
        <v>Каракас-Монагас</v>
      </c>
      <c r="E227" s="2" t="str">
        <v>-</v>
      </c>
      <c r="F227" s="2" t="str">
        <v>-</v>
      </c>
      <c r="G227" s="2" t="str">
        <v>-</v>
      </c>
    </row>
    <row r="228">
      <c r="A228" s="2" t="str">
        <v>01/05 ВС</v>
      </c>
      <c r="B228" s="2" t="str">
        <v>03:30</v>
      </c>
      <c r="C228" s="2" t="str">
        <v>ВЕНЕСУЭЛА ВЕНЕСУЭЛА</v>
      </c>
      <c r="D228" s="2" t="str">
        <v>Эрманс Колменарес-Карабобо</v>
      </c>
      <c r="E228" s="2" t="str">
        <v>-</v>
      </c>
      <c r="F228" s="2" t="str">
        <v>-</v>
      </c>
      <c r="G228" s="2" t="str">
        <v>-</v>
      </c>
    </row>
    <row r="229">
      <c r="A229" s="2" t="str">
        <v>01/05 ВС</v>
      </c>
      <c r="B229" s="2" t="str">
        <v>19:00</v>
      </c>
      <c r="C229" s="2" t="str">
        <v>ВЕНЕСУЭЛА ВЕНЕСУЭЛА</v>
      </c>
      <c r="D229" s="2" t="str">
        <v>УСВ-Минерос де Гуаяна</v>
      </c>
      <c r="E229" s="2" t="str">
        <v>-</v>
      </c>
      <c r="F229" s="2" t="str">
        <v>-</v>
      </c>
      <c r="G229" s="2" t="str">
        <v>-</v>
      </c>
    </row>
    <row r="230">
      <c r="A230" s="2" t="str">
        <v>01/05 ВС</v>
      </c>
      <c r="B230" s="2" t="str">
        <v>00:00</v>
      </c>
      <c r="C230" s="2" t="str">
        <v>ВЕНЕСУЭЛА ВЕНЕСУЭЛА</v>
      </c>
      <c r="D230" s="2" t="str">
        <v>Academia Anzoategui-Боливар</v>
      </c>
      <c r="E230" s="2" t="str">
        <v>-</v>
      </c>
      <c r="F230" s="2" t="str">
        <v>-</v>
      </c>
      <c r="G230" s="2" t="str">
        <v>-</v>
      </c>
    </row>
    <row r="231">
      <c r="A231" s="2" t="str">
        <v>01/05 ВС</v>
      </c>
      <c r="B231" s="2" t="str">
        <v>00:00</v>
      </c>
      <c r="C231" s="2" t="str">
        <v>ВЕНЕСУЭЛА ВЕНЕСУЭЛА</v>
      </c>
      <c r="D231" s="2" t="str">
        <v>Титанес-Трухильянос</v>
      </c>
      <c r="E231" s="2" t="str">
        <v>-</v>
      </c>
      <c r="F231" s="2" t="str">
        <v>-</v>
      </c>
      <c r="G231" s="2" t="str">
        <v>-</v>
      </c>
    </row>
    <row r="232">
      <c r="A232" s="2" t="str">
        <v>01/05 ВС</v>
      </c>
      <c r="B232" s="2" t="str">
        <v>00:00</v>
      </c>
      <c r="C232" s="2" t="str">
        <v>ВЕНЕСУЭЛА ВЕНЕСУЭЛА</v>
      </c>
      <c r="D232" s="2" t="str">
        <v>Фронтера-Академия Рэй</v>
      </c>
      <c r="E232" s="2" t="str">
        <v>-</v>
      </c>
      <c r="F232" s="2" t="str">
        <v>-</v>
      </c>
      <c r="G232" s="2" t="str">
        <v>-</v>
      </c>
    </row>
    <row r="233">
      <c r="A233" s="2" t="str">
        <v>01/05 ВС</v>
      </c>
      <c r="B233" s="2" t="str">
        <v>01:00</v>
      </c>
      <c r="C233" s="2" t="str">
        <v>ВЕНЕСУЭЛА ВЕНЕСУЭЛА</v>
      </c>
      <c r="D233" s="2" t="str">
        <v>Либертадор-Ангостура</v>
      </c>
      <c r="E233" s="2" t="str">
        <v>-</v>
      </c>
      <c r="F233" s="2" t="str">
        <v>-</v>
      </c>
      <c r="G233" s="2" t="str">
        <v>-</v>
      </c>
    </row>
    <row r="234">
      <c r="A234" s="2" t="str">
        <v>01/05 ВС</v>
      </c>
      <c r="B234" s="2" t="str">
        <v>01:00</v>
      </c>
      <c r="C234" s="2" t="str">
        <v>ВЕНЕСУЭЛА ВЕНЕСУЭЛА</v>
      </c>
      <c r="D234" s="2" t="str">
        <v>Хероес Фалькон-Урена</v>
      </c>
      <c r="E234" s="2" t="str">
        <v>-</v>
      </c>
      <c r="F234" s="2" t="str">
        <v>-</v>
      </c>
      <c r="G234" s="2" t="str">
        <v>-</v>
      </c>
    </row>
    <row r="235">
      <c r="A235" s="2" t="str">
        <v>01/05 ВС</v>
      </c>
      <c r="B235" s="2" t="str">
        <v>01:00</v>
      </c>
      <c r="C235" s="2" t="str">
        <v>ГАМБИЯ ГАМБИЯ</v>
      </c>
      <c r="D235" s="2" t="str">
        <v>Армед Форсес-Стив Бико</v>
      </c>
      <c r="E235" s="2" t="str">
        <v>-</v>
      </c>
      <c r="F235" s="2" t="str">
        <v>-</v>
      </c>
      <c r="G235" s="2" t="str">
        <v>-</v>
      </c>
    </row>
    <row r="236">
      <c r="A236" s="2" t="str">
        <v>01/05 ВС</v>
      </c>
      <c r="B236" s="2" t="str">
        <v>03:00</v>
      </c>
      <c r="C236" s="2" t="str">
        <v>ГАМБИЯ ГАМБИЯ</v>
      </c>
      <c r="D236" s="2" t="str">
        <v>Банжул Юнайтед-ВАА Банджул</v>
      </c>
      <c r="E236" s="2" t="str">
        <v>-</v>
      </c>
      <c r="F236" s="2" t="str">
        <v>-</v>
      </c>
      <c r="G236" s="2" t="str">
        <v>-</v>
      </c>
    </row>
    <row r="237">
      <c r="A237" s="2" t="str">
        <v>01/05 ВС</v>
      </c>
      <c r="B237" s="2" t="str">
        <v>19:00</v>
      </c>
      <c r="C237" s="2" t="str">
        <v>ГАНА ГАНА</v>
      </c>
      <c r="D237" s="2" t="str">
        <v>Ашанти Голд-Берекум Челси</v>
      </c>
      <c r="E237" s="2" t="str">
        <v>-</v>
      </c>
      <c r="F237" s="2" t="str">
        <v>-</v>
      </c>
      <c r="G237" s="2" t="str">
        <v>-</v>
      </c>
    </row>
    <row r="238">
      <c r="A238" s="2" t="str">
        <v>01/05 ВС</v>
      </c>
      <c r="B238" s="2" t="str">
        <v>19:00</v>
      </c>
      <c r="C238" s="2" t="str">
        <v>ГАНА ГАНА</v>
      </c>
      <c r="D238" s="2" t="str">
        <v>Карела-Бибиани Голд Старс</v>
      </c>
      <c r="E238" s="2" t="str">
        <v>-</v>
      </c>
      <c r="F238" s="2" t="str">
        <v>-</v>
      </c>
      <c r="G238" s="2" t="str">
        <v>-</v>
      </c>
    </row>
    <row r="239">
      <c r="A239" s="2" t="str">
        <v>01/05 ВС</v>
      </c>
      <c r="B239" s="2" t="str">
        <v>19:00</v>
      </c>
      <c r="C239" s="2" t="str">
        <v>ГАНА ГАНА</v>
      </c>
      <c r="D239" s="2" t="str">
        <v>Кинг Файзал-Бечем Юнайтед</v>
      </c>
      <c r="E239" s="2" t="str">
        <v>-</v>
      </c>
      <c r="F239" s="2" t="str">
        <v>-</v>
      </c>
      <c r="G239" s="2" t="str">
        <v>-</v>
      </c>
    </row>
    <row r="240">
      <c r="A240" s="2" t="str">
        <v>01/05 ВС</v>
      </c>
      <c r="B240" s="2" t="str">
        <v>19:00</v>
      </c>
      <c r="C240" s="2" t="str">
        <v>ГАНА ГАНА</v>
      </c>
      <c r="D240" s="2" t="str">
        <v>Легон Ситиз-Эльмина Шаркс</v>
      </c>
      <c r="E240" s="2" t="str">
        <v>-</v>
      </c>
      <c r="F240" s="2" t="str">
        <v>-</v>
      </c>
      <c r="G240" s="2" t="str">
        <v>-</v>
      </c>
    </row>
    <row r="241">
      <c r="A241" s="2" t="str">
        <v>01/05 ВС</v>
      </c>
      <c r="B241" s="2" t="str">
        <v>19:00</v>
      </c>
      <c r="C241" s="2" t="str">
        <v>ГАНА ГАНА</v>
      </c>
      <c r="D241" s="2" t="str">
        <v>Реал Тамале-Аккра Лайонс</v>
      </c>
      <c r="E241" s="2" t="str">
        <v>-</v>
      </c>
      <c r="F241" s="2" t="str">
        <v>-</v>
      </c>
      <c r="G241" s="2" t="str">
        <v>-</v>
      </c>
    </row>
    <row r="242">
      <c r="A242" s="2" t="str">
        <v>01/05 ВС</v>
      </c>
      <c r="B242" s="2" t="str">
        <v>19:00</v>
      </c>
      <c r="C242" s="2" t="str">
        <v>ГАНА ГАНА</v>
      </c>
      <c r="D242" s="2" t="str">
        <v>Хартс оф Оак-Дримс</v>
      </c>
      <c r="E242" s="2" t="str">
        <v>-</v>
      </c>
      <c r="F242" s="2" t="str">
        <v>-</v>
      </c>
      <c r="G242" s="2" t="str">
        <v>-</v>
      </c>
    </row>
    <row r="243">
      <c r="A243" s="2" t="str">
        <v>01/05 ВС</v>
      </c>
      <c r="B243" s="2" t="str">
        <v>01:00</v>
      </c>
      <c r="C243" s="2" t="str">
        <v>ГВАТЕМАЛА ГВАТЕМАЛА</v>
      </c>
      <c r="D243" s="2" t="str">
        <v>Гуастотоя-Шелаху</v>
      </c>
      <c r="E243" s="2" t="str">
        <v>-</v>
      </c>
      <c r="F243" s="2" t="str">
        <v>-</v>
      </c>
      <c r="G243" s="2" t="str">
        <v>-</v>
      </c>
    </row>
    <row r="244">
      <c r="A244" s="2" t="str">
        <v>01/05 ВС</v>
      </c>
      <c r="B244" s="2" t="str">
        <v>01:00</v>
      </c>
      <c r="C244" s="2" t="str">
        <v>ГВАТЕМАЛА ГВАТЕМАЛА</v>
      </c>
      <c r="D244" s="2" t="str">
        <v>Мунисипаль-Истапа</v>
      </c>
      <c r="E244" s="2" t="str">
        <v>-</v>
      </c>
      <c r="F244" s="2" t="str">
        <v>-</v>
      </c>
      <c r="G244" s="2" t="str">
        <v>-</v>
      </c>
    </row>
    <row r="245">
      <c r="A245" s="2" t="str">
        <v>01/05 ВС</v>
      </c>
      <c r="B245" s="2" t="str">
        <v>05:00</v>
      </c>
      <c r="C245" s="2" t="str">
        <v>ГВАТЕМАЛА ГВАТЕМАЛА</v>
      </c>
      <c r="D245" s="2" t="str">
        <v>Антигуа-Комуникасьонес</v>
      </c>
      <c r="E245" s="2" t="str">
        <v>-</v>
      </c>
      <c r="F245" s="2" t="str">
        <v>-</v>
      </c>
      <c r="G245" s="2" t="str">
        <v>-</v>
      </c>
    </row>
    <row r="246">
      <c r="A246" s="2" t="str">
        <v>01/05 ВС</v>
      </c>
      <c r="B246" s="2" t="str">
        <v>21:00</v>
      </c>
      <c r="C246" s="2" t="str">
        <v>ГВАТЕМАЛА ГВАТЕМАЛА</v>
      </c>
      <c r="D246" s="2" t="str">
        <v>Солола-Депортиво Малакатеко</v>
      </c>
      <c r="E246" s="2" t="str">
        <v>-</v>
      </c>
      <c r="F246" s="2" t="str">
        <v>-</v>
      </c>
      <c r="G246" s="2" t="str">
        <v>-</v>
      </c>
    </row>
    <row r="247">
      <c r="A247" s="2" t="str">
        <v>01/05 ВС</v>
      </c>
      <c r="B247" s="2" t="str">
        <v>22:00</v>
      </c>
      <c r="C247" s="2" t="str">
        <v>ГВАТЕМАЛА ГВАТЕМАЛА</v>
      </c>
      <c r="D247" s="2" t="str">
        <v>Депортиво Ачуапа-Кобан Империаль</v>
      </c>
      <c r="E247" s="2" t="str">
        <v>-</v>
      </c>
      <c r="F247" s="2" t="str">
        <v>-</v>
      </c>
      <c r="G247" s="2" t="str">
        <v>-</v>
      </c>
    </row>
    <row r="248">
      <c r="A248" s="2" t="str">
        <v>01/05 ВС</v>
      </c>
      <c r="B248" s="2" t="str">
        <v>17:00</v>
      </c>
      <c r="C248" s="2" t="str">
        <v>ГЕРМАНИЯ ГЕРМАНИЯ</v>
      </c>
      <c r="D248" s="2" t="str">
        <v>Ганновершер-Дрохтерсен/Ассель</v>
      </c>
      <c r="E248" s="2" t="str">
        <v>-</v>
      </c>
      <c r="F248" s="2" t="str">
        <v>-</v>
      </c>
      <c r="G248" s="2" t="str">
        <v>-</v>
      </c>
    </row>
    <row r="249">
      <c r="A249" s="2" t="str">
        <v>01/05 ВС</v>
      </c>
      <c r="B249" s="2" t="str">
        <v>17:00</v>
      </c>
      <c r="C249" s="2" t="str">
        <v>ГЕРМАНИЯ ГЕРМАНИЯ</v>
      </c>
      <c r="D249" s="2" t="str">
        <v>Люнебургер Ганза-Альтона</v>
      </c>
      <c r="E249" s="2" t="str">
        <v>-</v>
      </c>
      <c r="F249" s="2" t="str">
        <v>-</v>
      </c>
      <c r="G249" s="2" t="str">
        <v>-</v>
      </c>
    </row>
    <row r="250">
      <c r="A250" s="2" t="str">
        <v>01/05 ВС</v>
      </c>
      <c r="B250" s="2" t="str">
        <v>16:00</v>
      </c>
      <c r="C250" s="2" t="str">
        <v>ГЕРМАНИЯ ГЕРМАНИЯ</v>
      </c>
      <c r="D250" s="2" t="str">
        <v>Тевтония Оттензен-Ольденбург</v>
      </c>
      <c r="E250" s="2" t="str">
        <v>-</v>
      </c>
      <c r="F250" s="2" t="str">
        <v>-</v>
      </c>
      <c r="G250" s="2" t="str">
        <v>-</v>
      </c>
    </row>
    <row r="251">
      <c r="A251" s="2" t="str">
        <v>01/05 ВС</v>
      </c>
      <c r="B251" s="2" t="str">
        <v>16:00</v>
      </c>
      <c r="C251" s="2" t="str">
        <v>ГЕРМАНИЯ ГЕРМАНИЯ</v>
      </c>
      <c r="D251" s="2" t="str">
        <v>Хольштайн Киль II-Дельменхорст</v>
      </c>
      <c r="E251" s="2" t="str">
        <v>-</v>
      </c>
      <c r="F251" s="2" t="str">
        <v>-</v>
      </c>
      <c r="G251" s="2" t="str">
        <v>-</v>
      </c>
    </row>
    <row r="252">
      <c r="A252" s="2" t="str">
        <v>01/05 ВС</v>
      </c>
      <c r="B252" s="2" t="str">
        <v>15:00</v>
      </c>
      <c r="C252" s="2" t="str">
        <v>ГЕРМАНИЯ ГЕРМАНИЯ</v>
      </c>
      <c r="D252" s="2" t="str">
        <v>Хальберштадт-Тасмания Берлин</v>
      </c>
      <c r="E252" s="2" t="str">
        <v>-</v>
      </c>
      <c r="F252" s="2" t="str">
        <v>-</v>
      </c>
      <c r="G252" s="2" t="str">
        <v>-</v>
      </c>
    </row>
    <row r="253">
      <c r="A253" s="2" t="str">
        <v>01/05 ВС</v>
      </c>
      <c r="B253" s="2" t="str">
        <v>15:00</v>
      </c>
      <c r="C253" s="2" t="str">
        <v>ГЕРМАНИЯ ГЕРМАНИЯ</v>
      </c>
      <c r="D253" s="2" t="str">
        <v>Энерги-Лихтенберг</v>
      </c>
      <c r="E253" s="2" t="str">
        <v>-</v>
      </c>
      <c r="F253" s="2" t="str">
        <v>-</v>
      </c>
      <c r="G253" s="2" t="str">
        <v>-</v>
      </c>
    </row>
    <row r="254">
      <c r="A254" s="2" t="str">
        <v>01/05 ВС</v>
      </c>
      <c r="B254" s="2" t="str">
        <v>16:00</v>
      </c>
      <c r="C254" s="2" t="str">
        <v>ГЕРМАНИЯ ГЕРМАНИЯ</v>
      </c>
      <c r="D254" s="2" t="str">
        <v>Майнц II-Пирмазенс</v>
      </c>
      <c r="E254" s="2" t="str">
        <v>-</v>
      </c>
      <c r="F254" s="2" t="str">
        <v>-</v>
      </c>
      <c r="G254" s="2" t="str">
        <v>-</v>
      </c>
    </row>
    <row r="255">
      <c r="A255" s="2" t="str">
        <v>01/05 ВС</v>
      </c>
      <c r="B255" s="2" t="str">
        <v>16:00</v>
      </c>
      <c r="C255" s="2" t="str">
        <v>ГЕРМАНИЯ ГЕРМАНИЯ</v>
      </c>
      <c r="D255" s="2" t="str">
        <v>Оффенбах-Гроссашпах</v>
      </c>
      <c r="E255" s="2" t="str">
        <v>-</v>
      </c>
      <c r="F255" s="2" t="str">
        <v>-</v>
      </c>
      <c r="G255" s="2" t="str">
        <v>-</v>
      </c>
    </row>
    <row r="256">
      <c r="A256" s="2" t="str">
        <v>01/05 ВС</v>
      </c>
      <c r="B256" s="2" t="str">
        <v>16:00</v>
      </c>
      <c r="C256" s="2" t="str">
        <v>ГЕРМАНИЯ ГЕРМАНИЯ</v>
      </c>
      <c r="D256" s="2" t="str">
        <v>Бавария II-Гройтер II</v>
      </c>
      <c r="E256" s="2" t="str">
        <v>-</v>
      </c>
      <c r="F256" s="2" t="str">
        <v>-</v>
      </c>
      <c r="G256" s="2" t="str">
        <v>-</v>
      </c>
    </row>
    <row r="257" xml:space="preserve">
      <c r="A257" s="2" t="str">
        <v>01/05 ВС</v>
      </c>
      <c r="B257" s="2" t="str" xml:space="preserve">
        <v xml:space="preserve">16:00_x000d_
TKP</v>
      </c>
      <c r="C257" s="2" t="str">
        <v>ГЕРМАНИЯ ГЕРМАНИЯ</v>
      </c>
      <c r="D257" s="2" t="str">
        <v>Бранденбургер-Штерн</v>
      </c>
      <c r="E257" s="2" t="str">
        <v>-</v>
      </c>
      <c r="F257" s="2" t="str">
        <v>-</v>
      </c>
      <c r="G257" s="2" t="str">
        <v>-</v>
      </c>
    </row>
    <row r="258" xml:space="preserve">
      <c r="A258" s="2" t="str">
        <v>01/05 ВС</v>
      </c>
      <c r="B258" s="2" t="str" xml:space="preserve">
        <v xml:space="preserve">16:00_x000d_
TKP</v>
      </c>
      <c r="C258" s="2" t="str">
        <v>ГЕРМАНИЯ ГЕРМАНИЯ</v>
      </c>
      <c r="D258" s="2" t="str">
        <v>Ганза Росток II-Торгеловер Грайф</v>
      </c>
      <c r="E258" s="2" t="str">
        <v>-</v>
      </c>
      <c r="F258" s="2" t="str">
        <v>-</v>
      </c>
      <c r="G258" s="2" t="str">
        <v>-</v>
      </c>
    </row>
    <row r="259" xml:space="preserve">
      <c r="A259" s="2" t="str">
        <v>01/05 ВС</v>
      </c>
      <c r="B259" s="2" t="str" xml:space="preserve">
        <v xml:space="preserve">16:00_x000d_
TKP</v>
      </c>
      <c r="C259" s="2" t="str">
        <v>ГЕРМАНИЯ ГЕРМАНИЯ</v>
      </c>
      <c r="D259" s="2" t="str">
        <v>Грайфсвальд-Нойруппин</v>
      </c>
      <c r="E259" s="2" t="str">
        <v>-</v>
      </c>
      <c r="F259" s="2" t="str">
        <v>-</v>
      </c>
      <c r="G259" s="2" t="str">
        <v>-</v>
      </c>
    </row>
    <row r="260" xml:space="preserve">
      <c r="A260" s="2" t="str">
        <v>01/05 ВС</v>
      </c>
      <c r="B260" s="2" t="str" xml:space="preserve">
        <v xml:space="preserve">16:00_x000d_
TKP</v>
      </c>
      <c r="C260" s="2" t="str">
        <v>ГЕРМАНИЯ ГЕРМАНИЯ</v>
      </c>
      <c r="D260" s="2" t="str">
        <v>Нойстрелиц-Пэмпоу</v>
      </c>
      <c r="E260" s="2" t="str">
        <v>-</v>
      </c>
      <c r="F260" s="2" t="str">
        <v>-</v>
      </c>
      <c r="G260" s="2" t="str">
        <v>-</v>
      </c>
    </row>
    <row r="261" xml:space="preserve">
      <c r="A261" s="2" t="str">
        <v>01/05 ВС</v>
      </c>
      <c r="B261" s="2" t="str" xml:space="preserve">
        <v xml:space="preserve">16:00_x000d_
TKP</v>
      </c>
      <c r="C261" s="2" t="str">
        <v>ГЕРМАНИЯ ГЕРМАНИЯ</v>
      </c>
      <c r="D261" s="2" t="str">
        <v>Целендорф-Зелов</v>
      </c>
      <c r="E261" s="2" t="str">
        <v>-</v>
      </c>
      <c r="F261" s="2" t="str">
        <v>-</v>
      </c>
      <c r="G261" s="2" t="str">
        <v>-</v>
      </c>
    </row>
    <row r="262" xml:space="preserve">
      <c r="A262" s="2" t="str">
        <v>01/05 ВС</v>
      </c>
      <c r="B262" s="2" t="str" xml:space="preserve">
        <v xml:space="preserve">16:00_x000d_
TKP</v>
      </c>
      <c r="C262" s="2" t="str">
        <v>ГЕРМАНИЯ ГЕРМАНИЯ</v>
      </c>
      <c r="D262" s="2" t="str">
        <v>ШФК Герта-Мальсдорф</v>
      </c>
      <c r="E262" s="2" t="str">
        <v>-</v>
      </c>
      <c r="F262" s="2" t="str">
        <v>-</v>
      </c>
      <c r="G262" s="2" t="str">
        <v>-</v>
      </c>
    </row>
    <row r="263" xml:space="preserve">
      <c r="A263" s="2" t="str">
        <v>01/05 ВС</v>
      </c>
      <c r="B263" s="2" t="str" xml:space="preserve">
        <v xml:space="preserve">17:00_x000d_
TKP</v>
      </c>
      <c r="C263" s="2" t="str">
        <v>ГЕРМАНИЯ ГЕРМАНИЯ</v>
      </c>
      <c r="D263" s="2" t="str">
        <v>Фризия Ризум-Линдхольм-Ойтин</v>
      </c>
      <c r="E263" s="2" t="str">
        <v>-</v>
      </c>
      <c r="F263" s="2" t="str">
        <v>-</v>
      </c>
      <c r="G263" s="2" t="str">
        <v>-</v>
      </c>
    </row>
    <row r="264" xml:space="preserve">
      <c r="A264" s="2" t="str">
        <v>01/05 ВС</v>
      </c>
      <c r="B264" s="2" t="str" xml:space="preserve">
        <v xml:space="preserve">18:00_x000d_
TKP</v>
      </c>
      <c r="C264" s="2" t="str">
        <v>ГЕРМАНИЯ ГЕРМАНИЯ</v>
      </c>
      <c r="D264" s="2" t="str">
        <v>Интер Тюркспор Киль-Тодесфельде</v>
      </c>
      <c r="E264" s="2" t="str">
        <v>-</v>
      </c>
      <c r="F264" s="2" t="str">
        <v>-</v>
      </c>
      <c r="G264" s="2" t="str">
        <v>-</v>
      </c>
    </row>
    <row r="265" xml:space="preserve">
      <c r="A265" s="2" t="str">
        <v>01/05 ВС</v>
      </c>
      <c r="B265" s="2" t="str" xml:space="preserve">
        <v xml:space="preserve">16:00_x000d_
TKP</v>
      </c>
      <c r="C265" s="2" t="str">
        <v>ГЕРМАНИЯ ГЕРМАНИЯ</v>
      </c>
      <c r="D265" s="2" t="str">
        <v>Бухгольц 08-Вандсбекер Конкордия</v>
      </c>
      <c r="E265" s="2" t="str">
        <v>-</v>
      </c>
      <c r="F265" s="2" t="str">
        <v>-</v>
      </c>
      <c r="G265" s="2" t="str">
        <v>-</v>
      </c>
    </row>
    <row r="266" xml:space="preserve">
      <c r="A266" s="2" t="str">
        <v>01/05 ВС</v>
      </c>
      <c r="B266" s="2" t="str" xml:space="preserve">
        <v xml:space="preserve">16:00_x000d_
TKP</v>
      </c>
      <c r="C266" s="2" t="str">
        <v>ГЕРМАНИЯ ГЕРМАНИЯ</v>
      </c>
      <c r="D266" s="2" t="str">
        <v>Ругенберген-Брамфельдер</v>
      </c>
      <c r="E266" s="2" t="str">
        <v>-</v>
      </c>
      <c r="F266" s="2" t="str">
        <v>-</v>
      </c>
      <c r="G266" s="2" t="str">
        <v>-</v>
      </c>
    </row>
    <row r="267" xml:space="preserve">
      <c r="A267" s="2" t="str">
        <v>01/05 ВС</v>
      </c>
      <c r="B267" s="2" t="str" xml:space="preserve">
        <v xml:space="preserve">13:00_x000d_
TKP</v>
      </c>
      <c r="C267" s="2" t="str">
        <v>ГЕРМАНИЯ ГЕРМАНИЯ</v>
      </c>
      <c r="D267" s="2" t="str">
        <v>Геестмюнде-Бремер</v>
      </c>
      <c r="E267" s="2" t="str">
        <v>-</v>
      </c>
      <c r="F267" s="2" t="str">
        <v>-</v>
      </c>
      <c r="G267" s="2" t="str">
        <v>-</v>
      </c>
    </row>
    <row r="268" xml:space="preserve">
      <c r="A268" s="2" t="str">
        <v>01/05 ВС</v>
      </c>
      <c r="B268" s="2" t="str" xml:space="preserve">
        <v xml:space="preserve">16:00_x000d_
TKP</v>
      </c>
      <c r="C268" s="2" t="str">
        <v>ГЕРМАНИЯ ГЕРМАНИЯ</v>
      </c>
      <c r="D268" s="2" t="str">
        <v>Бринкумер-Швахгаузен</v>
      </c>
      <c r="E268" s="2" t="str">
        <v>-</v>
      </c>
      <c r="F268" s="2" t="str">
        <v>-</v>
      </c>
      <c r="G268" s="2" t="str">
        <v>-</v>
      </c>
    </row>
    <row r="269" xml:space="preserve">
      <c r="A269" s="2" t="str">
        <v>01/05 ВС</v>
      </c>
      <c r="B269" s="2" t="str" xml:space="preserve">
        <v xml:space="preserve">16:00_x000d_
TKP</v>
      </c>
      <c r="C269" s="2" t="str">
        <v>ГЕРМАНИЯ ГЕРМАНИЯ</v>
      </c>
      <c r="D269" s="2" t="str">
        <v>Леер-Бремерхавен</v>
      </c>
      <c r="E269" s="2" t="str">
        <v>-</v>
      </c>
      <c r="F269" s="2" t="str">
        <v>-</v>
      </c>
      <c r="G269" s="2" t="str">
        <v>-</v>
      </c>
    </row>
    <row r="270" xml:space="preserve">
      <c r="A270" s="2" t="str">
        <v>01/05 ВС</v>
      </c>
      <c r="B270" s="2" t="str" xml:space="preserve">
        <v xml:space="preserve">16:00_x000d_
TKP</v>
      </c>
      <c r="C270" s="2" t="str">
        <v>ГЕРМАНИЯ ГЕРМАНИЯ</v>
      </c>
      <c r="D270" s="2" t="str">
        <v>Хемелинген-Бремерхафен</v>
      </c>
      <c r="E270" s="2" t="str">
        <v>-</v>
      </c>
      <c r="F270" s="2" t="str">
        <v>-</v>
      </c>
      <c r="G270" s="2" t="str">
        <v>-</v>
      </c>
    </row>
    <row r="271" xml:space="preserve">
      <c r="A271" s="2" t="str">
        <v>01/05 ВС</v>
      </c>
      <c r="B271" s="2" t="str" xml:space="preserve">
        <v xml:space="preserve">17:00_x000d_
TKP</v>
      </c>
      <c r="C271" s="2" t="str">
        <v>ГЕРМАНИЯ ГЕРМАНИЯ</v>
      </c>
      <c r="D271" s="2" t="str">
        <v>Боргфельд-Комет Арстен</v>
      </c>
      <c r="E271" s="2" t="str">
        <v>-</v>
      </c>
      <c r="F271" s="2" t="str">
        <v>-</v>
      </c>
      <c r="G271" s="2" t="str">
        <v>-</v>
      </c>
    </row>
    <row r="272" xml:space="preserve">
      <c r="A272" s="2" t="str">
        <v>01/05 ВС</v>
      </c>
      <c r="B272" s="2" t="str" xml:space="preserve">
        <v xml:space="preserve">17:00_x000d_
TKP</v>
      </c>
      <c r="C272" s="2" t="str">
        <v>ГЕРМАНИЯ ГЕРМАНИЯ</v>
      </c>
      <c r="D272" s="2" t="str">
        <v>Хаштедт-Аумунд-Фегезак</v>
      </c>
      <c r="E272" s="2" t="str">
        <v>-</v>
      </c>
      <c r="F272" s="2" t="str">
        <v>-</v>
      </c>
      <c r="G272" s="2" t="str">
        <v>-</v>
      </c>
    </row>
    <row r="273" xml:space="preserve">
      <c r="A273" s="2" t="str">
        <v>01/05 ВС</v>
      </c>
      <c r="B273" s="2" t="str" xml:space="preserve">
        <v xml:space="preserve">17:30_x000d_
TKP</v>
      </c>
      <c r="C273" s="2" t="str">
        <v>ГЕРМАНИЯ ГЕРМАНИЯ</v>
      </c>
      <c r="D273" s="2" t="str">
        <v>Хабенхаузер-Унион 60 Бремен</v>
      </c>
      <c r="E273" s="2" t="str">
        <v>-</v>
      </c>
      <c r="F273" s="2" t="str">
        <v>-</v>
      </c>
      <c r="G273" s="2" t="str">
        <v>-</v>
      </c>
    </row>
    <row r="274" xml:space="preserve">
      <c r="A274" s="2" t="str">
        <v>01/05 ВС</v>
      </c>
      <c r="B274" s="2" t="str" xml:space="preserve">
        <v xml:space="preserve">17:00_x000d_
TKP</v>
      </c>
      <c r="C274" s="2" t="str">
        <v>ГЕРМАНИЯ ГЕРМАНИЯ</v>
      </c>
      <c r="D274" s="2" t="str">
        <v>Арминия Ганновер-Шпелле-Венхаус</v>
      </c>
      <c r="E274" s="2" t="str">
        <v>-</v>
      </c>
      <c r="F274" s="2" t="str">
        <v>-</v>
      </c>
      <c r="G274" s="2" t="str">
        <v>-</v>
      </c>
    </row>
    <row r="275" xml:space="preserve">
      <c r="A275" s="2" t="str">
        <v>01/05 ВС</v>
      </c>
      <c r="B275" s="2" t="str" xml:space="preserve">
        <v xml:space="preserve">17:00_x000d_
TKP</v>
      </c>
      <c r="C275" s="2" t="str">
        <v>ГЕРМАНИЯ ГЕРМАНИЯ</v>
      </c>
      <c r="D275" s="2" t="str">
        <v>Люпо-Мартини Вольфсбург-Лоне</v>
      </c>
      <c r="E275" s="2" t="str">
        <v>-</v>
      </c>
      <c r="F275" s="2" t="str">
        <v>-</v>
      </c>
      <c r="G275" s="2" t="str">
        <v>-</v>
      </c>
    </row>
    <row r="276" xml:space="preserve">
      <c r="A276" s="2" t="str">
        <v>01/05 ВС</v>
      </c>
      <c r="B276" s="2" t="str" xml:space="preserve">
        <v xml:space="preserve">17:00_x000d_
TKP</v>
      </c>
      <c r="C276" s="2" t="str">
        <v>ГЕРМАНИЯ ГЕРМАНИЯ</v>
      </c>
      <c r="D276" s="2" t="str">
        <v>Эгесторф-Лангредер-Хееслингер</v>
      </c>
      <c r="E276" s="2" t="str">
        <v>-</v>
      </c>
      <c r="F276" s="2" t="str">
        <v>-</v>
      </c>
      <c r="G276" s="2" t="str">
        <v>-</v>
      </c>
    </row>
    <row r="277" xml:space="preserve">
      <c r="A277" s="2" t="str">
        <v>01/05 ВС</v>
      </c>
      <c r="B277" s="2" t="str" xml:space="preserve">
        <v xml:space="preserve">16:00_x000d_
TKP</v>
      </c>
      <c r="C277" s="2" t="str">
        <v>ГЕРМАНИЯ ГЕРМАНИЯ</v>
      </c>
      <c r="D277" s="2" t="str">
        <v>Айнтрахт Нортхайм-Айнтрахт Целе</v>
      </c>
      <c r="E277" s="2" t="str">
        <v>-</v>
      </c>
      <c r="F277" s="2" t="str">
        <v>-</v>
      </c>
      <c r="G277" s="2" t="str">
        <v>-</v>
      </c>
    </row>
    <row r="278" xml:space="preserve">
      <c r="A278" s="2" t="str">
        <v>01/05 ВС</v>
      </c>
      <c r="B278" s="2" t="str" xml:space="preserve">
        <v xml:space="preserve">17:00_x000d_
TKP</v>
      </c>
      <c r="C278" s="2" t="str">
        <v>ГЕРМАНИЯ ГЕРМАНИЯ</v>
      </c>
      <c r="D278" s="2" t="str">
        <v>РСВ Майнерцхаген-Хаммер ШпФгг.</v>
      </c>
      <c r="E278" s="2" t="str">
        <v>-</v>
      </c>
      <c r="F278" s="2" t="str">
        <v>-</v>
      </c>
      <c r="G278" s="2" t="str">
        <v>-</v>
      </c>
    </row>
    <row r="279" xml:space="preserve">
      <c r="A279" s="2" t="str">
        <v>01/05 ВС</v>
      </c>
      <c r="B279" s="2" t="str" xml:space="preserve">
        <v xml:space="preserve">17:00_x000d_
TKP</v>
      </c>
      <c r="C279" s="2" t="str">
        <v>ГЕРМАНИЯ ГЕРМАНИЯ</v>
      </c>
      <c r="D279" s="2" t="str">
        <v>Фреден-Вестафалия Херн</v>
      </c>
      <c r="E279" s="2" t="str">
        <v>-</v>
      </c>
      <c r="F279" s="2" t="str">
        <v>-</v>
      </c>
      <c r="G279" s="2" t="str">
        <v>-</v>
      </c>
    </row>
    <row r="280" xml:space="preserve">
      <c r="A280" s="2" t="str">
        <v>01/05 ВС</v>
      </c>
      <c r="B280" s="2" t="str" xml:space="preserve">
        <v xml:space="preserve">17:00_x000d_
TKP</v>
      </c>
      <c r="C280" s="2" t="str">
        <v>ГЕРМАНИЯ ГЕРМАНИЯ</v>
      </c>
      <c r="D280" s="2" t="str">
        <v>Хольцвиккедер-Эннепеталь</v>
      </c>
      <c r="E280" s="2" t="str">
        <v>-</v>
      </c>
      <c r="F280" s="2" t="str">
        <v>-</v>
      </c>
      <c r="G280" s="2" t="str">
        <v>-</v>
      </c>
    </row>
    <row r="281" xml:space="preserve">
      <c r="A281" s="2" t="str">
        <v>01/05 ВС</v>
      </c>
      <c r="B281" s="2" t="str" xml:space="preserve">
        <v xml:space="preserve">17:00_x000d_
TKP</v>
      </c>
      <c r="C281" s="2" t="str">
        <v>ГЕРМАНИЯ ГЕРМАНИЯ</v>
      </c>
      <c r="D281" s="2" t="str">
        <v>Шпрокхёфель-Пройссен Мюнстер 2</v>
      </c>
      <c r="E281" s="2" t="str">
        <v>-</v>
      </c>
      <c r="F281" s="2" t="str">
        <v>-</v>
      </c>
      <c r="G281" s="2" t="str">
        <v>-</v>
      </c>
    </row>
    <row r="282" xml:space="preserve">
      <c r="A282" s="2" t="str">
        <v>01/05 ВС</v>
      </c>
      <c r="B282" s="2" t="str" xml:space="preserve">
        <v xml:space="preserve">17:00_x000d_
TKP</v>
      </c>
      <c r="C282" s="2" t="str">
        <v>ГЕРМАНИЯ ГЕРМАНИЯ</v>
      </c>
      <c r="D282" s="2" t="str">
        <v>АСК 09 Дортмунд-Каан-Мариенборн</v>
      </c>
      <c r="E282" s="2" t="str">
        <v>-</v>
      </c>
      <c r="F282" s="2" t="str">
        <v>-</v>
      </c>
      <c r="G282" s="2" t="str">
        <v>-</v>
      </c>
    </row>
    <row r="283" xml:space="preserve">
      <c r="A283" s="2" t="str">
        <v>01/05 ВС</v>
      </c>
      <c r="B283" s="2" t="str" xml:space="preserve">
        <v xml:space="preserve">17:00_x000d_
TKP</v>
      </c>
      <c r="C283" s="2" t="str">
        <v>ГЕРМАНИЯ ГЕРМАНИЯ</v>
      </c>
      <c r="D283" s="2" t="str">
        <v>Ваттеншайд-Гутерслох</v>
      </c>
      <c r="E283" s="2" t="str">
        <v>-</v>
      </c>
      <c r="F283" s="2" t="str">
        <v>-</v>
      </c>
      <c r="G283" s="2" t="str">
        <v>-</v>
      </c>
    </row>
    <row r="284" xml:space="preserve">
      <c r="A284" s="2" t="str">
        <v>01/05 ВС</v>
      </c>
      <c r="B284" s="2" t="str" xml:space="preserve">
        <v xml:space="preserve">17:00_x000d_
TKP</v>
      </c>
      <c r="C284" s="2" t="str">
        <v>ГЕРМАНИЯ ГЕРМАНИЯ</v>
      </c>
      <c r="D284" s="2" t="str">
        <v>Зиген-Шермбек-2020</v>
      </c>
      <c r="E284" s="2" t="str">
        <v>-</v>
      </c>
      <c r="F284" s="2" t="str">
        <v>-</v>
      </c>
      <c r="G284" s="2" t="str">
        <v>-</v>
      </c>
    </row>
    <row r="285" xml:space="preserve">
      <c r="A285" s="2" t="str">
        <v>01/05 ВС</v>
      </c>
      <c r="B285" s="2" t="str" xml:space="preserve">
        <v xml:space="preserve">17:30_x000d_
TKP</v>
      </c>
      <c r="C285" s="2" t="str">
        <v>ГЕРМАНИЯ ГЕРМАНИЯ</v>
      </c>
      <c r="D285" s="2" t="str">
        <v>Эрндтебрюк-Айнтрахт Райне</v>
      </c>
      <c r="E285" s="2" t="str">
        <v>-</v>
      </c>
      <c r="F285" s="2" t="str">
        <v>-</v>
      </c>
      <c r="G285" s="2" t="str">
        <v>-</v>
      </c>
    </row>
    <row r="286" xml:space="preserve">
      <c r="A286" s="2" t="str">
        <v>01/05 ВС</v>
      </c>
      <c r="B286" s="2" t="str" xml:space="preserve">
        <v xml:space="preserve">17:00_x000d_
TKP</v>
      </c>
      <c r="C286" s="2" t="str">
        <v>ГЕРМАНИЯ ГЕРМАНИЯ</v>
      </c>
      <c r="D286" s="2" t="str">
        <v>Бад-Фильбель-Альценау</v>
      </c>
      <c r="E286" s="2" t="str">
        <v>-</v>
      </c>
      <c r="F286" s="2" t="str">
        <v>-</v>
      </c>
      <c r="G286" s="2" t="str">
        <v>-</v>
      </c>
    </row>
    <row r="287" xml:space="preserve">
      <c r="A287" s="2" t="str">
        <v>01/05 ВС</v>
      </c>
      <c r="B287" s="2" t="str" xml:space="preserve">
        <v xml:space="preserve">17:00_x000d_
TKP</v>
      </c>
      <c r="C287" s="2" t="str">
        <v>ГЕРМАНИЯ ГЕРМАНИЯ</v>
      </c>
      <c r="D287" s="2" t="str">
        <v>Вальдорф-Флиден</v>
      </c>
      <c r="E287" s="2" t="str">
        <v>-</v>
      </c>
      <c r="F287" s="2" t="str">
        <v>-</v>
      </c>
      <c r="G287" s="2" t="str">
        <v>-</v>
      </c>
    </row>
    <row r="288" xml:space="preserve">
      <c r="A288" s="2" t="str">
        <v>01/05 ВС</v>
      </c>
      <c r="B288" s="2" t="str" xml:space="preserve">
        <v xml:space="preserve">17:00_x000d_
TKP</v>
      </c>
      <c r="C288" s="2" t="str">
        <v>ГЕРМАНИЯ ГЕРМАНИЯ</v>
      </c>
      <c r="D288" s="2" t="str">
        <v>Виктория Грисхайм-Баунаталь</v>
      </c>
      <c r="E288" s="2" t="str">
        <v>-</v>
      </c>
      <c r="F288" s="2" t="str">
        <v>-</v>
      </c>
      <c r="G288" s="2" t="str">
        <v>-</v>
      </c>
    </row>
    <row r="289" xml:space="preserve">
      <c r="A289" s="2" t="str">
        <v>01/05 ВС</v>
      </c>
      <c r="B289" s="2" t="str" xml:space="preserve">
        <v xml:space="preserve">17:00_x000d_
TKP</v>
      </c>
      <c r="C289" s="2" t="str">
        <v>ГЕРМАНИЯ ГЕРМАНИЯ</v>
      </c>
      <c r="D289" s="2" t="str">
        <v>Гинсхайм-Хунфелдер</v>
      </c>
      <c r="E289" s="2" t="str">
        <v>-</v>
      </c>
      <c r="F289" s="2" t="str">
        <v>-</v>
      </c>
      <c r="G289" s="2" t="str">
        <v>-</v>
      </c>
    </row>
    <row r="290" xml:space="preserve">
      <c r="A290" s="2" t="str">
        <v>01/05 ВС</v>
      </c>
      <c r="B290" s="2" t="str" xml:space="preserve">
        <v xml:space="preserve">17:00_x000d_
TKP</v>
      </c>
      <c r="C290" s="2" t="str">
        <v>ГЕРМАНИЯ ГЕРМАНИЯ</v>
      </c>
      <c r="D290" s="2" t="str">
        <v>Цайльсхайм-Штейнбах</v>
      </c>
      <c r="E290" s="2" t="str">
        <v>-</v>
      </c>
      <c r="F290" s="2" t="str">
        <v>-</v>
      </c>
      <c r="G290" s="2" t="str">
        <v>-</v>
      </c>
    </row>
    <row r="291" xml:space="preserve">
      <c r="A291" s="2" t="str">
        <v>01/05 ВС</v>
      </c>
      <c r="B291" s="2" t="str" xml:space="preserve">
        <v xml:space="preserve">16:30_x000d_
TKP</v>
      </c>
      <c r="C291" s="2" t="str">
        <v>ГЕРМАНИЯ ГЕРМАНИЯ</v>
      </c>
      <c r="D291" s="2" t="str">
        <v>Вальдальгесхайм-Мехтерсхайм</v>
      </c>
      <c r="E291" s="2" t="str">
        <v>-</v>
      </c>
      <c r="F291" s="2" t="str">
        <v>-</v>
      </c>
      <c r="G291" s="2" t="str">
        <v>-</v>
      </c>
    </row>
    <row r="292" xml:space="preserve">
      <c r="A292" s="2" t="str">
        <v>01/05 ВС</v>
      </c>
      <c r="B292" s="2" t="str" xml:space="preserve">
        <v xml:space="preserve">17:00_x000d_
TKP</v>
      </c>
      <c r="C292" s="2" t="str">
        <v>ГЕРМАНИЯ ГЕРМАНИЯ</v>
      </c>
      <c r="D292" s="2" t="str">
        <v>Гархинг-Пуллах</v>
      </c>
      <c r="E292" s="2" t="str">
        <v>-</v>
      </c>
      <c r="F292" s="2" t="str">
        <v>-</v>
      </c>
      <c r="G292" s="2" t="str">
        <v>-</v>
      </c>
    </row>
    <row r="293" xml:space="preserve">
      <c r="A293" s="2" t="str">
        <v>01/05 ВС</v>
      </c>
      <c r="B293" s="2" t="str" xml:space="preserve">
        <v xml:space="preserve">17:00_x000d_
TKP</v>
      </c>
      <c r="C293" s="2" t="str">
        <v>ГЕРМАНИЯ ГЕРМАНИЯ</v>
      </c>
      <c r="D293" s="2" t="str">
        <v>Альфтер-Фрехен</v>
      </c>
      <c r="E293" s="2" t="str">
        <v>-</v>
      </c>
      <c r="F293" s="2" t="str">
        <v>-</v>
      </c>
      <c r="G293" s="2" t="str">
        <v>-</v>
      </c>
    </row>
    <row r="294" xml:space="preserve">
      <c r="A294" s="2" t="str">
        <v>01/05 ВС</v>
      </c>
      <c r="B294" s="2" t="str" xml:space="preserve">
        <v xml:space="preserve">17:00_x000d_
TKP</v>
      </c>
      <c r="C294" s="2" t="str">
        <v>ГЕРМАНИЯ ГЕРМАНИЯ</v>
      </c>
      <c r="D294" s="2" t="str">
        <v>Брайниг-Бергиш Гладбах</v>
      </c>
      <c r="E294" s="2" t="str">
        <v>-</v>
      </c>
      <c r="F294" s="2" t="str">
        <v>-</v>
      </c>
      <c r="G294" s="2" t="str">
        <v>-</v>
      </c>
    </row>
    <row r="295" xml:space="preserve">
      <c r="A295" s="2" t="str">
        <v>01/05 ВС</v>
      </c>
      <c r="B295" s="2" t="str" xml:space="preserve">
        <v xml:space="preserve">17:00_x000d_
TKP</v>
      </c>
      <c r="C295" s="2" t="str">
        <v>ГЕРМАНИЯ ГЕРМАНИЯ</v>
      </c>
      <c r="D295" s="2" t="str">
        <v>Весселинг-Урфельд-Айлендорф</v>
      </c>
      <c r="E295" s="2" t="str">
        <v>-</v>
      </c>
      <c r="F295" s="2" t="str">
        <v>-</v>
      </c>
      <c r="G295" s="2" t="str">
        <v>-</v>
      </c>
    </row>
    <row r="296" xml:space="preserve">
      <c r="A296" s="2" t="str">
        <v>01/05 ВС</v>
      </c>
      <c r="B296" s="2" t="str" xml:space="preserve">
        <v xml:space="preserve">17:00_x000d_
TKP</v>
      </c>
      <c r="C296" s="2" t="str">
        <v>ГЕРМАНИЯ ГЕРМАНИЯ</v>
      </c>
      <c r="D296" s="2" t="str">
        <v>Глеш/Паффендорф-Фрисдорф</v>
      </c>
      <c r="E296" s="2" t="str">
        <v>-</v>
      </c>
      <c r="F296" s="2" t="str">
        <v>-</v>
      </c>
      <c r="G296" s="2" t="str">
        <v>-</v>
      </c>
    </row>
    <row r="297" xml:space="preserve">
      <c r="A297" s="2" t="str">
        <v>01/05 ВС</v>
      </c>
      <c r="B297" s="2" t="str" xml:space="preserve">
        <v xml:space="preserve">17:00_x000d_
TKP</v>
      </c>
      <c r="C297" s="2" t="str">
        <v>ГЕРМАНИЯ ГЕРМАНИЯ</v>
      </c>
      <c r="D297" s="2" t="str">
        <v>Дюрен-Хеннеф</v>
      </c>
      <c r="E297" s="2" t="str">
        <v>-</v>
      </c>
      <c r="F297" s="2" t="str">
        <v>-</v>
      </c>
      <c r="G297" s="2" t="str">
        <v>-</v>
      </c>
    </row>
    <row r="298" xml:space="preserve">
      <c r="A298" s="2" t="str">
        <v>01/05 ВС</v>
      </c>
      <c r="B298" s="2" t="str" xml:space="preserve">
        <v xml:space="preserve">17:30_x000d_
TKP</v>
      </c>
      <c r="C298" s="2" t="str">
        <v>ГЕРМАНИЯ ГЕРМАНИЯ</v>
      </c>
      <c r="D298" s="2" t="str">
        <v>Дойц-Хюрт</v>
      </c>
      <c r="E298" s="2" t="str">
        <v>-</v>
      </c>
      <c r="F298" s="2" t="str">
        <v>-</v>
      </c>
      <c r="G298" s="2" t="str">
        <v>-</v>
      </c>
    </row>
    <row r="299" xml:space="preserve">
      <c r="A299" s="2" t="str">
        <v>01/05 ВС</v>
      </c>
      <c r="B299" s="2" t="str" xml:space="preserve">
        <v xml:space="preserve">17:30_x000d_
TKP</v>
      </c>
      <c r="C299" s="2" t="str">
        <v>ГЕРМАНИЯ ГЕРМАНИЯ</v>
      </c>
      <c r="D299" s="2" t="str">
        <v>Зигбургер-Виктория 08</v>
      </c>
      <c r="E299" s="2" t="str">
        <v>-</v>
      </c>
      <c r="F299" s="2" t="str">
        <v>-</v>
      </c>
      <c r="G299" s="2" t="str">
        <v>-</v>
      </c>
    </row>
    <row r="300" xml:space="preserve">
      <c r="A300" s="2" t="str">
        <v>01/05 ВС</v>
      </c>
      <c r="B300" s="2" t="str" xml:space="preserve">
        <v xml:space="preserve">17:30_x000d_
TKP</v>
      </c>
      <c r="C300" s="2" t="str">
        <v>ГЕРМАНИЯ ГЕРМАНИЯ</v>
      </c>
      <c r="D300" s="2" t="str">
        <v>Пеш-Фрайальденхофен</v>
      </c>
      <c r="E300" s="2" t="str">
        <v>-</v>
      </c>
      <c r="F300" s="2" t="str">
        <v>-</v>
      </c>
      <c r="G300" s="2" t="str">
        <v>-</v>
      </c>
    </row>
    <row r="301" xml:space="preserve">
      <c r="A301" s="2" t="str">
        <v>01/05 ВС</v>
      </c>
      <c r="B301" s="2" t="str" xml:space="preserve">
        <v xml:space="preserve">17:30_x000d_
TKP</v>
      </c>
      <c r="C301" s="2" t="str">
        <v>ГЕРМАНИЯ ГЕРМАНИЯ</v>
      </c>
      <c r="D301" s="2" t="str">
        <v>Фортуна Кёльн II-Вихтталь</v>
      </c>
      <c r="E301" s="2" t="str">
        <v>-</v>
      </c>
      <c r="F301" s="2" t="str">
        <v>-</v>
      </c>
      <c r="G301" s="2" t="str">
        <v>-</v>
      </c>
    </row>
    <row r="302" xml:space="preserve">
      <c r="A302" s="2" t="str">
        <v>01/05 ВС</v>
      </c>
      <c r="B302" s="2" t="str" xml:space="preserve">
        <v xml:space="preserve">13:00_x000d_
TKP</v>
      </c>
      <c r="C302" s="2" t="str">
        <v>ГЕРМАНИЯ ГЕРМАНИЯ</v>
      </c>
      <c r="D302" s="2" t="str">
        <v>Бавария II (Ж)-Меппен (Ж)</v>
      </c>
      <c r="E302" s="2" t="str">
        <v>-</v>
      </c>
      <c r="F302" s="2" t="str">
        <v>-</v>
      </c>
      <c r="G302" s="2" t="str">
        <v>-</v>
      </c>
    </row>
    <row r="303" xml:space="preserve">
      <c r="A303" s="2" t="str">
        <v>01/05 ВС</v>
      </c>
      <c r="B303" s="2" t="str" xml:space="preserve">
        <v xml:space="preserve">13:00_x000d_
TKP</v>
      </c>
      <c r="C303" s="2" t="str">
        <v>ГЕРМАНИЯ ГЕРМАНИЯ</v>
      </c>
      <c r="D303" s="2" t="str">
        <v>Вольфсбург II (Ж)-Боруссия Бохольт (Ж)</v>
      </c>
      <c r="E303" s="2" t="str">
        <v>-</v>
      </c>
      <c r="F303" s="2" t="str">
        <v>-</v>
      </c>
      <c r="G303" s="2" t="str">
        <v>-</v>
      </c>
    </row>
    <row r="304" xml:space="preserve">
      <c r="A304" s="2" t="str">
        <v>01/05 ВС</v>
      </c>
      <c r="B304" s="2" t="str" xml:space="preserve">
        <v xml:space="preserve">13:00_x000d_
TKP</v>
      </c>
      <c r="C304" s="2" t="str">
        <v>ГЕРМАНИЯ ГЕРМАНИЯ</v>
      </c>
      <c r="D304" s="2" t="str">
        <v>Генштедт-Ульцбург (Ж)-Нюрнберг (Ж)</v>
      </c>
      <c r="E304" s="2" t="str">
        <v>-</v>
      </c>
      <c r="F304" s="2" t="str">
        <v>-</v>
      </c>
      <c r="G304" s="2" t="str">
        <v>-</v>
      </c>
    </row>
    <row r="305" xml:space="preserve">
      <c r="A305" s="2" t="str">
        <v>01/05 ВС</v>
      </c>
      <c r="B305" s="2" t="str" xml:space="preserve">
        <v xml:space="preserve">13:00_x000d_
TKP</v>
      </c>
      <c r="C305" s="2" t="str">
        <v>ГЕРМАНИЯ ГЕРМАНИЯ</v>
      </c>
      <c r="D305" s="2" t="str">
        <v>Дуйсбург (Ж)-Эльфсберг (Ж)</v>
      </c>
      <c r="E305" s="2" t="str">
        <v>-</v>
      </c>
      <c r="F305" s="2" t="str">
        <v>-</v>
      </c>
      <c r="G305" s="2" t="str">
        <v>-</v>
      </c>
    </row>
    <row r="306" xml:space="preserve">
      <c r="A306" s="2" t="str">
        <v>01/05 ВС</v>
      </c>
      <c r="B306" s="2" t="str" xml:space="preserve">
        <v xml:space="preserve">13:00_x000d_
TKP</v>
      </c>
      <c r="C306" s="2" t="str">
        <v>ГЕРМАНИЯ ГЕРМАНИЯ</v>
      </c>
      <c r="D306" s="2" t="str">
        <v>РБ Лейпциг (Ж)-Ингольштадт (Ж)</v>
      </c>
      <c r="E306" s="2" t="str">
        <v>-</v>
      </c>
      <c r="F306" s="2" t="str">
        <v>-</v>
      </c>
      <c r="G306" s="2" t="str">
        <v>-</v>
      </c>
    </row>
    <row r="307" xml:space="preserve">
      <c r="A307" s="2" t="str">
        <v>01/05 ВС</v>
      </c>
      <c r="B307" s="2" t="str" xml:space="preserve">
        <v xml:space="preserve">16:00_x000d_
TKP</v>
      </c>
      <c r="C307" s="2" t="str">
        <v>ГЕРМАНИЯ ГЕРМАНИЯ</v>
      </c>
      <c r="D307" s="2" t="str">
        <v>Айнтрахт Ф II (Ж)-Гутерслох (Ж)</v>
      </c>
      <c r="E307" s="2" t="str">
        <v>-</v>
      </c>
      <c r="F307" s="2" t="str">
        <v>-</v>
      </c>
      <c r="G307" s="2" t="str">
        <v>-</v>
      </c>
    </row>
    <row r="308" xml:space="preserve">
      <c r="A308" s="2" t="str">
        <v>01/05 ВС</v>
      </c>
      <c r="B308" s="2" t="str" xml:space="preserve">
        <v xml:space="preserve">16:00_x000d_
TKP</v>
      </c>
      <c r="C308" s="2" t="str">
        <v>ГЕРМАНИЯ ГЕРМАНИЯ</v>
      </c>
      <c r="D308" s="2" t="str">
        <v>Хоффенхайм II (Ж)-Андернах (Ж)</v>
      </c>
      <c r="E308" s="2" t="str">
        <v>-</v>
      </c>
      <c r="F308" s="2" t="str">
        <v>-</v>
      </c>
      <c r="G308" s="2" t="str">
        <v>-</v>
      </c>
    </row>
    <row r="309">
      <c r="A309" s="2" t="str">
        <v>01/05 ВС</v>
      </c>
      <c r="B309" s="2" t="str">
        <v>05:00</v>
      </c>
      <c r="C309" s="2" t="str">
        <v>ГОНДУРАС ГОНДУРАС</v>
      </c>
      <c r="D309" s="2" t="str">
        <v>Виктория-Олимпия</v>
      </c>
      <c r="E309" s="2" t="str">
        <v>-</v>
      </c>
      <c r="F309" s="2" t="str">
        <v>-</v>
      </c>
      <c r="G309" s="2" t="str">
        <v>-</v>
      </c>
    </row>
    <row r="310">
      <c r="A310" s="2" t="str">
        <v>01/05 ВС</v>
      </c>
      <c r="B310" s="2" t="str">
        <v>05:00</v>
      </c>
      <c r="C310" s="2" t="str">
        <v>ГОНДУРАС ГОНДУРАС</v>
      </c>
      <c r="D310" s="2" t="str">
        <v>Гондурас Прогресо-Платенсе</v>
      </c>
      <c r="E310" s="2" t="str">
        <v>-</v>
      </c>
      <c r="F310" s="2" t="str">
        <v>-</v>
      </c>
      <c r="G310" s="2" t="str">
        <v>-</v>
      </c>
    </row>
    <row r="311">
      <c r="A311" s="2" t="str">
        <v>01/05 ВС</v>
      </c>
      <c r="B311" s="2" t="str">
        <v>05:00</v>
      </c>
      <c r="C311" s="2" t="str">
        <v>ГОНДУРАС ГОНДУРАС</v>
      </c>
      <c r="D311" s="2" t="str">
        <v>Мотагуа-Реал Сосьедад</v>
      </c>
      <c r="E311" s="2" t="str">
        <v>-</v>
      </c>
      <c r="F311" s="2" t="str">
        <v>-</v>
      </c>
      <c r="G311" s="2" t="str">
        <v>-</v>
      </c>
    </row>
    <row r="312">
      <c r="A312" s="2" t="str">
        <v>01/05 ВС</v>
      </c>
      <c r="B312" s="2" t="str">
        <v>05:00</v>
      </c>
      <c r="C312" s="2" t="str">
        <v>ГОНДУРАС ГОНДУРАС</v>
      </c>
      <c r="D312" s="2" t="str">
        <v>Реал Эспанья-Вида</v>
      </c>
      <c r="E312" s="2" t="str">
        <v>-</v>
      </c>
      <c r="F312" s="2" t="str">
        <v>-</v>
      </c>
      <c r="G312" s="2" t="str">
        <v>-</v>
      </c>
    </row>
    <row r="313">
      <c r="A313" s="2" t="str">
        <v>01/05 ВС</v>
      </c>
      <c r="B313" s="2" t="str">
        <v>05:00</v>
      </c>
      <c r="C313" s="2" t="str">
        <v>ГОНДУРАС ГОНДУРАС</v>
      </c>
      <c r="D313" s="2" t="str">
        <v>УПНФМ-Марафон</v>
      </c>
      <c r="E313" s="2" t="str">
        <v>-</v>
      </c>
      <c r="F313" s="2" t="str">
        <v>-</v>
      </c>
      <c r="G313" s="2" t="str">
        <v>-</v>
      </c>
    </row>
    <row r="314">
      <c r="A314" s="2" t="str">
        <v>01/05 ВС</v>
      </c>
      <c r="B314" s="2" t="str">
        <v>18:00</v>
      </c>
      <c r="C314" s="2" t="str">
        <v>ГРЕЦИЯ ГРЕЦИЯ</v>
      </c>
      <c r="D314" s="2" t="str">
        <v>Олимпиакос-ПАС Янина</v>
      </c>
      <c r="E314" s="2" t="str">
        <v>1.33</v>
      </c>
      <c r="F314" s="2" t="str">
        <v>5.00</v>
      </c>
      <c r="G314" s="2" t="str">
        <v>10.00</v>
      </c>
    </row>
    <row r="315">
      <c r="A315" s="2" t="str">
        <v>01/05 ВС</v>
      </c>
      <c r="B315" s="2" t="str">
        <v>20:00</v>
      </c>
      <c r="C315" s="2" t="str">
        <v>ГРЕЦИЯ ГРЕЦИЯ</v>
      </c>
      <c r="D315" s="2" t="str">
        <v>Панатинаикос-Арис</v>
      </c>
      <c r="E315" s="2" t="str">
        <v>2.05</v>
      </c>
      <c r="F315" s="2" t="str">
        <v>2.90</v>
      </c>
      <c r="G315" s="2" t="str">
        <v>4.33</v>
      </c>
    </row>
    <row r="316">
      <c r="A316" s="2" t="str">
        <v>01/05 ВС</v>
      </c>
      <c r="B316" s="2" t="str">
        <v>22:00</v>
      </c>
      <c r="C316" s="2" t="str">
        <v>ГРЕЦИЯ ГРЕЦИЯ</v>
      </c>
      <c r="D316" s="2" t="str">
        <v>ПАОК-АЕК</v>
      </c>
      <c r="E316" s="2" t="str">
        <v>2.25</v>
      </c>
      <c r="F316" s="2" t="str">
        <v>3.10</v>
      </c>
      <c r="G316" s="2" t="str">
        <v>3.50</v>
      </c>
    </row>
    <row r="317">
      <c r="A317" s="2" t="str">
        <v>01/05 ВС</v>
      </c>
      <c r="B317" s="2" t="str">
        <v>15:45</v>
      </c>
      <c r="C317" s="2" t="str">
        <v>ГРЕЦИЯ ГРЕЦИЯ</v>
      </c>
      <c r="D317" s="2" t="str">
        <v>Аполлон Ларисса-ПАОК (Б)</v>
      </c>
      <c r="E317" s="2" t="str">
        <v>-</v>
      </c>
      <c r="F317" s="2" t="str">
        <v>-</v>
      </c>
      <c r="G317" s="2" t="str">
        <v>-</v>
      </c>
    </row>
    <row r="318">
      <c r="A318" s="2" t="str">
        <v>01/05 ВС</v>
      </c>
      <c r="B318" s="2" t="str">
        <v>15:45</v>
      </c>
      <c r="C318" s="2" t="str">
        <v>ГРЕЦИЯ ГРЕЦИЯ</v>
      </c>
      <c r="D318" s="2" t="str">
        <v>Аполлон Понту-Теспротос</v>
      </c>
      <c r="E318" s="2" t="str">
        <v>-</v>
      </c>
      <c r="F318" s="2" t="str">
        <v>-</v>
      </c>
      <c r="G318" s="2" t="str">
        <v>-</v>
      </c>
    </row>
    <row r="319">
      <c r="A319" s="2" t="str">
        <v>01/05 ВС</v>
      </c>
      <c r="B319" s="2" t="str">
        <v>15:45</v>
      </c>
      <c r="C319" s="2" t="str">
        <v>ГРЕЦИЯ ГРЕЦИЯ</v>
      </c>
      <c r="D319" s="2" t="str">
        <v>Вероя-Кавала</v>
      </c>
      <c r="E319" s="2" t="str">
        <v>-</v>
      </c>
      <c r="F319" s="2" t="str">
        <v>-</v>
      </c>
      <c r="G319" s="2" t="str">
        <v>-</v>
      </c>
    </row>
    <row r="320">
      <c r="A320" s="2" t="str">
        <v>01/05 ВС</v>
      </c>
      <c r="B320" s="2" t="str">
        <v>15:45</v>
      </c>
      <c r="C320" s="2" t="str">
        <v>ГРЕЦИЯ ГРЕЦИЯ</v>
      </c>
      <c r="D320" s="2" t="str">
        <v>Епископи-Панатинаикос (Б)</v>
      </c>
      <c r="E320" s="2" t="str">
        <v>-</v>
      </c>
      <c r="F320" s="2" t="str">
        <v>-</v>
      </c>
      <c r="G320" s="2" t="str">
        <v>-</v>
      </c>
    </row>
    <row r="321">
      <c r="A321" s="2" t="str">
        <v>01/05 ВС</v>
      </c>
      <c r="B321" s="2" t="str">
        <v>15:45</v>
      </c>
      <c r="C321" s="2" t="str">
        <v>ГРЕЦИЯ ГРЕЦИЯ</v>
      </c>
      <c r="D321" s="2" t="str">
        <v>Иерапетра-Закинтос</v>
      </c>
      <c r="E321" s="2" t="str">
        <v>-</v>
      </c>
      <c r="F321" s="2" t="str">
        <v>-</v>
      </c>
      <c r="G321" s="2" t="str">
        <v>-</v>
      </c>
    </row>
    <row r="322">
      <c r="A322" s="2" t="str">
        <v>01/05 ВС</v>
      </c>
      <c r="B322" s="2" t="str">
        <v>15:45</v>
      </c>
      <c r="C322" s="2" t="str">
        <v>ГРЕЦИЯ ГРЕЦИЯ</v>
      </c>
      <c r="D322" s="2" t="str">
        <v>Ираклис-Алмопос</v>
      </c>
      <c r="E322" s="2" t="str">
        <v>-</v>
      </c>
      <c r="F322" s="2" t="str">
        <v>-</v>
      </c>
      <c r="G322" s="2" t="str">
        <v>-</v>
      </c>
    </row>
    <row r="323">
      <c r="A323" s="2" t="str">
        <v>01/05 ВС</v>
      </c>
      <c r="B323" s="2" t="str">
        <v>15:45</v>
      </c>
      <c r="C323" s="2" t="str">
        <v>ГРЕЦИЯ ГРЕЦИЯ</v>
      </c>
      <c r="D323" s="2" t="str">
        <v>Иродотос-Астерас Влахиоти</v>
      </c>
      <c r="E323" s="2" t="str">
        <v>-</v>
      </c>
      <c r="F323" s="2" t="str">
        <v>-</v>
      </c>
      <c r="G323" s="2" t="str">
        <v>-</v>
      </c>
    </row>
    <row r="324">
      <c r="A324" s="2" t="str">
        <v>01/05 ВС</v>
      </c>
      <c r="B324" s="2" t="str">
        <v>15:45</v>
      </c>
      <c r="C324" s="2" t="str">
        <v>ГРЕЦИЯ ГРЕЦИЯ</v>
      </c>
      <c r="D324" s="2" t="str">
        <v>Калитея-Ханья</v>
      </c>
      <c r="E324" s="2" t="str">
        <v>-</v>
      </c>
      <c r="F324" s="2" t="str">
        <v>-</v>
      </c>
      <c r="G324" s="2" t="str">
        <v>-</v>
      </c>
    </row>
    <row r="325">
      <c r="A325" s="2" t="str">
        <v>01/05 ВС</v>
      </c>
      <c r="B325" s="2" t="str">
        <v>15:45</v>
      </c>
      <c r="C325" s="2" t="str">
        <v>ГРЕЦИЯ ГРЕЦИЯ</v>
      </c>
      <c r="D325" s="2" t="str">
        <v>Кардица-Ксанти</v>
      </c>
      <c r="E325" s="2" t="str">
        <v>-</v>
      </c>
      <c r="F325" s="2" t="str">
        <v>-</v>
      </c>
      <c r="G325" s="2" t="str">
        <v>-</v>
      </c>
    </row>
    <row r="326">
      <c r="A326" s="2" t="str">
        <v>01/05 ВС</v>
      </c>
      <c r="B326" s="2" t="str">
        <v>15:45</v>
      </c>
      <c r="C326" s="2" t="str">
        <v>ГРЕЦИЯ ГРЕЦИЯ</v>
      </c>
      <c r="D326" s="2" t="str">
        <v>Кифисиас-Каламата</v>
      </c>
      <c r="E326" s="2" t="str">
        <v>-</v>
      </c>
      <c r="F326" s="2" t="str">
        <v>-</v>
      </c>
      <c r="G326" s="2" t="str">
        <v>-</v>
      </c>
    </row>
    <row r="327">
      <c r="A327" s="2" t="str">
        <v>01/05 ВС</v>
      </c>
      <c r="B327" s="2" t="str">
        <v>15:45</v>
      </c>
      <c r="C327" s="2" t="str">
        <v>ГРЕЦИЯ ГРЕЦИЯ</v>
      </c>
      <c r="D327" s="2" t="str">
        <v>Лариса-Трикала</v>
      </c>
      <c r="E327" s="2" t="str">
        <v>-</v>
      </c>
      <c r="F327" s="2" t="str">
        <v>-</v>
      </c>
      <c r="G327" s="2" t="str">
        <v>-</v>
      </c>
    </row>
    <row r="328">
      <c r="A328" s="2" t="str">
        <v>01/05 ВС</v>
      </c>
      <c r="B328" s="2" t="str">
        <v>15:45</v>
      </c>
      <c r="C328" s="2" t="str">
        <v>ГРЕЦИЯ ГРЕЦИЯ</v>
      </c>
      <c r="D328" s="2" t="str">
        <v>Левадиакос-Эрготелис</v>
      </c>
      <c r="E328" s="2" t="str">
        <v>-</v>
      </c>
      <c r="F328" s="2" t="str">
        <v>-</v>
      </c>
      <c r="G328" s="2" t="str">
        <v>-</v>
      </c>
    </row>
    <row r="329">
      <c r="A329" s="2" t="str">
        <v>01/05 ВС</v>
      </c>
      <c r="B329" s="2" t="str">
        <v>15:45</v>
      </c>
      <c r="C329" s="2" t="str">
        <v>ГРЕЦИЯ ГРЕЦИЯ</v>
      </c>
      <c r="D329" s="2" t="str">
        <v>Олимпиакос (Б)-Олимпиакос Волос</v>
      </c>
      <c r="E329" s="2" t="str">
        <v>-</v>
      </c>
      <c r="F329" s="2" t="str">
        <v>-</v>
      </c>
      <c r="G329" s="2" t="str">
        <v>-</v>
      </c>
    </row>
    <row r="330">
      <c r="A330" s="2" t="str">
        <v>01/05 ВС</v>
      </c>
      <c r="B330" s="2" t="str">
        <v>15:45</v>
      </c>
      <c r="C330" s="2" t="str">
        <v>ГРЕЦИЯ ГРЕЦИЯ</v>
      </c>
      <c r="D330" s="2" t="str">
        <v>Пансеррайкос-Ники Волос</v>
      </c>
      <c r="E330" s="2" t="str">
        <v>-</v>
      </c>
      <c r="F330" s="2" t="str">
        <v>-</v>
      </c>
      <c r="G330" s="2" t="str">
        <v>-</v>
      </c>
    </row>
    <row r="331">
      <c r="A331" s="2" t="str">
        <v>01/05 ВС</v>
      </c>
      <c r="B331" s="2" t="str">
        <v>15:45</v>
      </c>
      <c r="C331" s="2" t="str">
        <v>ГРЕЦИЯ ГРЕЦИЯ</v>
      </c>
      <c r="D331" s="2" t="str">
        <v>Родос-Караискакис</v>
      </c>
      <c r="E331" s="2" t="str">
        <v>-</v>
      </c>
      <c r="F331" s="2" t="str">
        <v>-</v>
      </c>
      <c r="G331" s="2" t="str">
        <v>-</v>
      </c>
    </row>
    <row r="332">
      <c r="A332" s="2" t="str">
        <v>01/05 ВС</v>
      </c>
      <c r="B332" s="2" t="str">
        <v>15:45</v>
      </c>
      <c r="C332" s="2" t="str">
        <v>ГРЕЦИЯ ГРЕЦИЯ</v>
      </c>
      <c r="D332" s="2" t="str">
        <v>Эгалео-Диагорас</v>
      </c>
      <c r="E332" s="2" t="str">
        <v>-</v>
      </c>
      <c r="F332" s="2" t="str">
        <v>-</v>
      </c>
      <c r="G332" s="2" t="str">
        <v>-</v>
      </c>
    </row>
    <row r="333">
      <c r="A333" s="2" t="str">
        <v>01/05 ВС</v>
      </c>
      <c r="B333" s="2" t="str">
        <v>16:00</v>
      </c>
      <c r="C333" s="2" t="str">
        <v>ДАНИЯ ДАНИЯ</v>
      </c>
      <c r="D333" s="2" t="str">
        <v>Вайле-Сённерьюск</v>
      </c>
      <c r="E333" s="2" t="str">
        <v>1.83</v>
      </c>
      <c r="F333" s="2" t="str">
        <v>3.75</v>
      </c>
      <c r="G333" s="2" t="str">
        <v>4.20</v>
      </c>
    </row>
    <row r="334">
      <c r="A334" s="2" t="str">
        <v>01/05 ВС</v>
      </c>
      <c r="B334" s="2" t="str">
        <v>16:00</v>
      </c>
      <c r="C334" s="2" t="str">
        <v>ДАНИЯ ДАНИЯ</v>
      </c>
      <c r="D334" s="2" t="str">
        <v>Оденсе-Орхус</v>
      </c>
      <c r="E334" s="2" t="str">
        <v>2.10</v>
      </c>
      <c r="F334" s="2" t="str">
        <v>3.50</v>
      </c>
      <c r="G334" s="2" t="str">
        <v>3.40</v>
      </c>
    </row>
    <row r="335">
      <c r="A335" s="2" t="str">
        <v>01/05 ВС</v>
      </c>
      <c r="B335" s="2" t="str">
        <v>18:00</v>
      </c>
      <c r="C335" s="2" t="str">
        <v>ДАНИЯ ДАНИЯ</v>
      </c>
      <c r="D335" s="2" t="str">
        <v>Раннерс-Брённбю</v>
      </c>
      <c r="E335" s="2" t="str">
        <v>2.10</v>
      </c>
      <c r="F335" s="2" t="str">
        <v>3.30</v>
      </c>
      <c r="G335" s="2" t="str">
        <v>3.60</v>
      </c>
    </row>
    <row r="336">
      <c r="A336" s="2" t="str">
        <v>01/05 ВС</v>
      </c>
      <c r="B336" s="2" t="str">
        <v>20:00</v>
      </c>
      <c r="C336" s="2" t="str">
        <v>ДАНИЯ ДАНИЯ</v>
      </c>
      <c r="D336" s="2" t="str">
        <v>Мидтьюлланн-Копенгаген</v>
      </c>
      <c r="E336" s="2" t="str">
        <v>2.60</v>
      </c>
      <c r="F336" s="2" t="str">
        <v>3.50</v>
      </c>
      <c r="G336" s="2" t="str">
        <v>2.62</v>
      </c>
    </row>
    <row r="337">
      <c r="A337" s="2" t="str">
        <v>01/05 ВС</v>
      </c>
      <c r="B337" s="2" t="str">
        <v>16:00</v>
      </c>
      <c r="C337" s="2" t="str">
        <v>ДАНИЯ ДАНИЯ</v>
      </c>
      <c r="D337" s="2" t="str">
        <v>Яммербугт-Кёге</v>
      </c>
      <c r="E337" s="2" t="str">
        <v>3.10</v>
      </c>
      <c r="F337" s="2" t="str">
        <v>3.60</v>
      </c>
      <c r="G337" s="2" t="str">
        <v>2.20</v>
      </c>
    </row>
    <row r="338">
      <c r="A338" s="2" t="str">
        <v>01/05 ВС</v>
      </c>
      <c r="B338" s="2" t="str">
        <v>15:00</v>
      </c>
      <c r="C338" s="2" t="str">
        <v>ДАНИЯ ДАНИЯ</v>
      </c>
      <c r="D338" s="2" t="str">
        <v>Академик БК-Нествед</v>
      </c>
      <c r="E338" s="2" t="str">
        <v>-</v>
      </c>
      <c r="F338" s="2" t="str">
        <v>-</v>
      </c>
      <c r="G338" s="2" t="str">
        <v>-</v>
      </c>
    </row>
    <row r="339">
      <c r="A339" s="2" t="str">
        <v>01/05 ВС</v>
      </c>
      <c r="B339" s="2" t="str">
        <v>16:00</v>
      </c>
      <c r="C339" s="2" t="str">
        <v>ДАНИЯ ДАНИЯ</v>
      </c>
      <c r="D339" s="2" t="str">
        <v>Янг Бойз ФД-Карлслунде</v>
      </c>
      <c r="E339" s="2" t="str">
        <v>-</v>
      </c>
      <c r="F339" s="2" t="str">
        <v>-</v>
      </c>
      <c r="G339" s="2" t="str">
        <v>-</v>
      </c>
    </row>
    <row r="340">
      <c r="A340" s="2" t="str">
        <v>01/05 ВС</v>
      </c>
      <c r="B340" s="2" t="str">
        <v>15:00</v>
      </c>
      <c r="C340" s="2" t="str">
        <v>ДАНИЯ ДАНИЯ</v>
      </c>
      <c r="D340" s="2" t="str">
        <v>Систед (Ж)-КольдингКью (Ж)</v>
      </c>
      <c r="E340" s="2" t="str">
        <v>-</v>
      </c>
      <c r="F340" s="2" t="str">
        <v>-</v>
      </c>
      <c r="G340" s="2" t="str">
        <v>-</v>
      </c>
    </row>
    <row r="341">
      <c r="A341" s="2" t="str">
        <v>01/05 ВС</v>
      </c>
      <c r="B341" s="2" t="str">
        <v>00:00</v>
      </c>
      <c r="C341" s="2" t="str">
        <v>ДОМИНИКАНСКАЯ РЕСПУБЛИКА ДОМИНИКАНСКАЯ РЕСПУБЛИКА</v>
      </c>
      <c r="D341" s="2" t="str">
        <v>Дельфинес Дель Эсте-Атлетико Пантоха</v>
      </c>
      <c r="E341" s="2" t="str">
        <v>-</v>
      </c>
      <c r="F341" s="2" t="str">
        <v>-</v>
      </c>
      <c r="G341" s="2" t="str">
        <v>-</v>
      </c>
    </row>
    <row r="342">
      <c r="A342" s="2" t="str">
        <v>01/05 ВС</v>
      </c>
      <c r="B342" s="2" t="str">
        <v>00:00</v>
      </c>
      <c r="C342" s="2" t="str">
        <v>ДОМИНИКАНСКАЯ РЕСПУБЛИКА ДОМИНИКАНСКАЯ РЕСПУБЛИКА</v>
      </c>
      <c r="D342" s="2" t="str">
        <v>Харабакоа-Универсидад О-М</v>
      </c>
      <c r="E342" s="2" t="str">
        <v>-</v>
      </c>
      <c r="F342" s="2" t="str">
        <v>-</v>
      </c>
      <c r="G342" s="2" t="str">
        <v>-</v>
      </c>
    </row>
    <row r="343">
      <c r="A343" s="2" t="str">
        <v>01/05 ВС</v>
      </c>
      <c r="B343" s="2" t="str">
        <v>17:00</v>
      </c>
      <c r="C343" s="2" t="str">
        <v>ЕВРОПА ЕВРОПА</v>
      </c>
      <c r="D343" s="2" t="str">
        <v>Океан-ТСК-Таврия</v>
      </c>
      <c r="E343" s="2" t="str">
        <v>-</v>
      </c>
      <c r="F343" s="2" t="str">
        <v>-</v>
      </c>
      <c r="G343" s="2" t="str">
        <v>-</v>
      </c>
    </row>
    <row r="344">
      <c r="A344" s="2" t="str">
        <v>01/05 ВС</v>
      </c>
      <c r="B344" s="2" t="str">
        <v>23:30</v>
      </c>
      <c r="C344" s="2" t="str">
        <v>ЕГИПЕТ ЕГИПЕТ</v>
      </c>
      <c r="D344" s="2" t="str">
        <v>Аль-Масри-Араб Контракторс</v>
      </c>
      <c r="E344" s="2" t="str">
        <v>-</v>
      </c>
      <c r="F344" s="2" t="str">
        <v>-</v>
      </c>
      <c r="G344" s="2" t="str">
        <v>-</v>
      </c>
    </row>
    <row r="345">
      <c r="A345" s="2" t="str">
        <v>01/05 ВС</v>
      </c>
      <c r="B345" s="2" t="str">
        <v>23:30</v>
      </c>
      <c r="C345" s="2" t="str">
        <v>ЕГИПЕТ ЕГИПЕТ</v>
      </c>
      <c r="D345" s="2" t="str">
        <v>Eastern Company-Замалек</v>
      </c>
      <c r="E345" s="2" t="str">
        <v>-</v>
      </c>
      <c r="F345" s="2" t="str">
        <v>-</v>
      </c>
      <c r="G345" s="2" t="str">
        <v>-</v>
      </c>
    </row>
    <row r="346">
      <c r="A346" s="2" t="str">
        <v>01/05 ВС</v>
      </c>
      <c r="B346" s="2" t="str">
        <v>23:30</v>
      </c>
      <c r="C346" s="2" t="str">
        <v>ЕГИПЕТ ЕГИПЕТ</v>
      </c>
      <c r="D346" s="2" t="str">
        <v>Эль-Гуна-Пирамидс</v>
      </c>
      <c r="E346" s="2" t="str">
        <v>-</v>
      </c>
      <c r="F346" s="2" t="str">
        <v>-</v>
      </c>
      <c r="G346" s="2" t="str">
        <v>-</v>
      </c>
    </row>
    <row r="347">
      <c r="A347" s="2" t="str">
        <v>01/05 ВС</v>
      </c>
      <c r="B347" s="2" t="str">
        <v>17:00</v>
      </c>
      <c r="C347" s="2" t="str">
        <v>ЗИМБАБВЕ ЗИМБАБВЕ</v>
      </c>
      <c r="D347" s="2" t="str">
        <v>КАПС Юнайтед-Кранборн Буллетс</v>
      </c>
      <c r="E347" s="2" t="str">
        <v>-</v>
      </c>
      <c r="F347" s="2" t="str">
        <v>-</v>
      </c>
      <c r="G347" s="2" t="str">
        <v>-</v>
      </c>
    </row>
    <row r="348">
      <c r="A348" s="2" t="str">
        <v>01/05 ВС</v>
      </c>
      <c r="B348" s="2" t="str">
        <v>17:00</v>
      </c>
      <c r="C348" s="2" t="str">
        <v>ЗИМБАБВЕ ЗИМБАБВЕ</v>
      </c>
      <c r="D348" s="2" t="str">
        <v>Маника-Кариба</v>
      </c>
      <c r="E348" s="2" t="str">
        <v>-</v>
      </c>
      <c r="F348" s="2" t="str">
        <v>-</v>
      </c>
      <c r="G348" s="2" t="str">
        <v>-</v>
      </c>
    </row>
    <row r="349">
      <c r="A349" s="2" t="str">
        <v>01/05 ВС</v>
      </c>
      <c r="B349" s="2" t="str">
        <v>17:00</v>
      </c>
      <c r="C349" s="2" t="str">
        <v>ЗИМБАБВЕ ЗИМБАБВЕ</v>
      </c>
      <c r="D349" s="2" t="str">
        <v>Хайлендерс-Чикен Инн</v>
      </c>
      <c r="E349" s="2" t="str">
        <v>-</v>
      </c>
      <c r="F349" s="2" t="str">
        <v>-</v>
      </c>
      <c r="G349" s="2" t="str">
        <v>-</v>
      </c>
    </row>
    <row r="350">
      <c r="A350" s="2" t="str">
        <v>01/05 ВС</v>
      </c>
      <c r="B350" s="2" t="str">
        <v>21:15</v>
      </c>
      <c r="C350" s="2" t="str">
        <v>ИЗРАИЛЬ ИЗРАИЛЬ</v>
      </c>
      <c r="D350" s="2" t="str">
        <v>Маккаби Нетания-Хапоэль Беэр-Шева</v>
      </c>
      <c r="E350" s="2" t="str">
        <v>2.80</v>
      </c>
      <c r="F350" s="2" t="str">
        <v>3.10</v>
      </c>
      <c r="G350" s="2" t="str">
        <v>2.30</v>
      </c>
    </row>
    <row r="351">
      <c r="A351" s="2" t="str">
        <v>01/05 ВС</v>
      </c>
      <c r="B351" s="2" t="str">
        <v>20:00</v>
      </c>
      <c r="C351" s="2" t="str">
        <v>ИЗРАИЛЬ ИЗРАИЛЬ</v>
      </c>
      <c r="D351" s="2" t="str">
        <v>Ашдод-Кирьят-Шмона</v>
      </c>
      <c r="E351" s="2" t="str">
        <v>2.20</v>
      </c>
      <c r="F351" s="2" t="str">
        <v>3.00</v>
      </c>
      <c r="G351" s="2" t="str">
        <v>3.30</v>
      </c>
    </row>
    <row r="352">
      <c r="A352" s="2" t="str">
        <v>01/05 ВС</v>
      </c>
      <c r="B352" s="2" t="str">
        <v>14:30</v>
      </c>
      <c r="C352" s="2" t="str">
        <v>ИНДИЯ ИНДИЯ</v>
      </c>
      <c r="D352" s="2" t="str">
        <v>Судева Дели-Индиан Эрроус</v>
      </c>
      <c r="E352" s="2" t="str">
        <v>-</v>
      </c>
      <c r="F352" s="2" t="str">
        <v>-</v>
      </c>
      <c r="G352" s="2" t="str">
        <v>-</v>
      </c>
    </row>
    <row r="353">
      <c r="A353" s="2" t="str">
        <v>01/05 ВС</v>
      </c>
      <c r="B353" s="2" t="str">
        <v>15:30</v>
      </c>
      <c r="C353" s="2" t="str">
        <v>ИНДИЯ ИНДИЯ</v>
      </c>
      <c r="D353" s="2" t="str">
        <v>Kenkre-Реал Кашмир</v>
      </c>
      <c r="E353" s="2" t="str">
        <v>-</v>
      </c>
      <c r="F353" s="2" t="str">
        <v>-</v>
      </c>
      <c r="G353" s="2" t="str">
        <v>-</v>
      </c>
    </row>
    <row r="354">
      <c r="A354" s="2" t="str">
        <v>01/05 ВС</v>
      </c>
      <c r="B354" s="2" t="str">
        <v>18:30</v>
      </c>
      <c r="C354" s="2" t="str">
        <v>ИНДИЯ ИНДИЯ</v>
      </c>
      <c r="D354" s="2" t="str">
        <v>ТРАУ-Аиджал</v>
      </c>
      <c r="E354" s="2" t="str">
        <v>-</v>
      </c>
      <c r="F354" s="2" t="str">
        <v>-</v>
      </c>
      <c r="G354" s="2" t="str">
        <v>-</v>
      </c>
    </row>
    <row r="355">
      <c r="A355" s="2" t="str">
        <v>01/05 ВС</v>
      </c>
      <c r="B355" s="2" t="str">
        <v>23:30</v>
      </c>
      <c r="C355" s="2" t="str">
        <v>ИОРДАНИЯ ИОРДАНИЯ</v>
      </c>
      <c r="D355" s="2" t="str">
        <v>Сахаб-Аль-Хуссейн</v>
      </c>
      <c r="E355" s="2" t="str">
        <v>-</v>
      </c>
      <c r="F355" s="2" t="str">
        <v>-</v>
      </c>
      <c r="G355" s="2" t="str">
        <v>-</v>
      </c>
    </row>
    <row r="356">
      <c r="A356" s="2" t="str">
        <v>01/05 ВС</v>
      </c>
      <c r="B356" s="2" t="str">
        <v>20:00</v>
      </c>
      <c r="C356" s="2" t="str">
        <v>ИСЛАНДИЯ ИСЛАНДИЯ</v>
      </c>
      <c r="D356" s="2" t="str">
        <v>Вестманнаэйяр-Лейкнир</v>
      </c>
      <c r="E356" s="2" t="str">
        <v>-</v>
      </c>
      <c r="F356" s="2" t="str">
        <v>-</v>
      </c>
      <c r="G356" s="2" t="str">
        <v>-</v>
      </c>
    </row>
    <row r="357">
      <c r="A357" s="2" t="str">
        <v>01/05 ВС</v>
      </c>
      <c r="B357" s="2" t="str">
        <v>23:15</v>
      </c>
      <c r="C357" s="2" t="str">
        <v>ИСЛАНДИЯ ИСЛАНДИЯ</v>
      </c>
      <c r="D357" s="2" t="str">
        <v>Брейдаблик-Хабнарфьордюр</v>
      </c>
      <c r="E357" s="2" t="str">
        <v>-</v>
      </c>
      <c r="F357" s="2" t="str">
        <v>-</v>
      </c>
      <c r="G357" s="2" t="str">
        <v>-</v>
      </c>
    </row>
    <row r="358">
      <c r="A358" s="2" t="str">
        <v>01/05 ВС</v>
      </c>
      <c r="B358" s="2" t="str">
        <v>16:00</v>
      </c>
      <c r="C358" s="2" t="str">
        <v>ИСПАНИЯ ИСПАНИЯ</v>
      </c>
      <c r="D358" s="2" t="str">
        <v>Аморебьета-Фуэнлабрада</v>
      </c>
      <c r="E358" s="2" t="str">
        <v>1.90</v>
      </c>
      <c r="F358" s="2" t="str">
        <v>3.40</v>
      </c>
      <c r="G358" s="2" t="str">
        <v>4.20</v>
      </c>
    </row>
    <row r="359">
      <c r="A359" s="2" t="str">
        <v>01/05 ВС</v>
      </c>
      <c r="B359" s="2" t="str">
        <v>18:00</v>
      </c>
      <c r="C359" s="2" t="str">
        <v>ИСПАНИЯ ИСПАНИЯ</v>
      </c>
      <c r="D359" s="2" t="str">
        <v>Алькоркон-Жирона</v>
      </c>
      <c r="E359" s="2" t="str">
        <v>3.60</v>
      </c>
      <c r="F359" s="2" t="str">
        <v>3.50</v>
      </c>
      <c r="G359" s="2" t="str">
        <v>2.05</v>
      </c>
    </row>
    <row r="360">
      <c r="A360" s="2" t="str">
        <v>01/05 ВС</v>
      </c>
      <c r="B360" s="2" t="str">
        <v>18:00</v>
      </c>
      <c r="C360" s="2" t="str">
        <v>ИСПАНИЯ ИСПАНИЯ</v>
      </c>
      <c r="D360" s="2" t="str">
        <v>Спортинг Хихон-Ибица</v>
      </c>
      <c r="E360" s="2" t="str">
        <v>2.20</v>
      </c>
      <c r="F360" s="2" t="str">
        <v>3.20</v>
      </c>
      <c r="G360" s="2" t="str">
        <v>3.50</v>
      </c>
    </row>
    <row r="361">
      <c r="A361" s="2" t="str">
        <v>01/05 ВС</v>
      </c>
      <c r="B361" s="2" t="str">
        <v>20:15</v>
      </c>
      <c r="C361" s="2" t="str">
        <v>ИСПАНИЯ ИСПАНИЯ</v>
      </c>
      <c r="D361" s="2" t="str">
        <v>Луго-Тенерифе</v>
      </c>
      <c r="E361" s="2" t="str">
        <v>3.30</v>
      </c>
      <c r="F361" s="2" t="str">
        <v>3.20</v>
      </c>
      <c r="G361" s="2" t="str">
        <v>2.30</v>
      </c>
    </row>
    <row r="362">
      <c r="A362" s="2" t="str">
        <v>01/05 ВС</v>
      </c>
      <c r="B362" s="2" t="str">
        <v>20:15</v>
      </c>
      <c r="C362" s="2" t="str">
        <v>ИСПАНИЯ ИСПАНИЯ</v>
      </c>
      <c r="D362" s="2" t="str">
        <v>Понферрадина-Картахена</v>
      </c>
      <c r="E362" s="2" t="str">
        <v>2.10</v>
      </c>
      <c r="F362" s="2" t="str">
        <v>3.40</v>
      </c>
      <c r="G362" s="2" t="str">
        <v>3.50</v>
      </c>
    </row>
    <row r="363">
      <c r="A363" s="2" t="str">
        <v>01/05 ВС</v>
      </c>
      <c r="B363" s="2" t="str">
        <v>14:00</v>
      </c>
      <c r="C363" s="2" t="str">
        <v>ИСПАНИЯ ИСПАНИЯ</v>
      </c>
      <c r="D363" s="2" t="str">
        <v>Расинг-Сельта (Б)</v>
      </c>
      <c r="E363" s="2" t="str">
        <v>1.61</v>
      </c>
      <c r="F363" s="2" t="str">
        <v>3.60</v>
      </c>
      <c r="G363" s="2" t="str">
        <v>4.50</v>
      </c>
    </row>
    <row r="364">
      <c r="A364" s="2" t="str">
        <v>01/05 ВС</v>
      </c>
      <c r="B364" s="2" t="str">
        <v>14:00</v>
      </c>
      <c r="C364" s="2" t="str">
        <v>ИСПАНИЯ ИСПАНИЯ</v>
      </c>
      <c r="D364" s="2" t="str">
        <v>Реал Унион-Райо Махадаонда</v>
      </c>
      <c r="E364" s="2" t="str">
        <v>2.05</v>
      </c>
      <c r="F364" s="2" t="str">
        <v>3.25</v>
      </c>
      <c r="G364" s="2" t="str">
        <v>3.20</v>
      </c>
    </row>
    <row r="365">
      <c r="A365" s="2" t="str">
        <v>01/05 ВС</v>
      </c>
      <c r="B365" s="2" t="str">
        <v>19:00</v>
      </c>
      <c r="C365" s="2" t="str">
        <v>ИСПАНИЯ ИСПАНИЯ</v>
      </c>
      <c r="D365" s="2" t="str">
        <v>Калаорра-Интернасьонал де Мадрид</v>
      </c>
      <c r="E365" s="2" t="str">
        <v>1.95</v>
      </c>
      <c r="F365" s="2" t="str">
        <v>3.10</v>
      </c>
      <c r="G365" s="2" t="str">
        <v>3.60</v>
      </c>
    </row>
    <row r="366">
      <c r="A366" s="2" t="str">
        <v>01/05 ВС</v>
      </c>
      <c r="B366" s="2" t="str">
        <v>19:00</v>
      </c>
      <c r="C366" s="2" t="str">
        <v>ИСПАНИЯ ИСПАНИЯ</v>
      </c>
      <c r="D366" s="2" t="str">
        <v>Леонеса-Самора</v>
      </c>
      <c r="E366" s="2" t="str">
        <v>1.85</v>
      </c>
      <c r="F366" s="2" t="str">
        <v>3.10</v>
      </c>
      <c r="G366" s="2" t="str">
        <v>4.20</v>
      </c>
    </row>
    <row r="367">
      <c r="A367" s="2" t="str">
        <v>01/05 ВС</v>
      </c>
      <c r="B367" s="2" t="str">
        <v>19:00</v>
      </c>
      <c r="C367" s="2" t="str">
        <v>ИСПАНИЯ ИСПАНИЯ</v>
      </c>
      <c r="D367" s="2" t="str">
        <v>Сан-Себастьян-Вальядолид Промесас</v>
      </c>
      <c r="E367" s="2" t="str">
        <v>1.75</v>
      </c>
      <c r="F367" s="2" t="str">
        <v>3.10</v>
      </c>
      <c r="G367" s="2" t="str">
        <v>4.50</v>
      </c>
    </row>
    <row r="368">
      <c r="A368" s="2" t="str">
        <v>01/05 ВС</v>
      </c>
      <c r="B368" s="2" t="str">
        <v>14:00</v>
      </c>
      <c r="C368" s="2" t="str">
        <v>ИСПАНИЯ ИСПАНИЯ</v>
      </c>
      <c r="D368" s="2" t="str">
        <v>Алькояно-Альбасете</v>
      </c>
      <c r="E368" s="2" t="str">
        <v>2.30</v>
      </c>
      <c r="F368" s="2" t="str">
        <v>2.90</v>
      </c>
      <c r="G368" s="2" t="str">
        <v>2.90</v>
      </c>
    </row>
    <row r="369">
      <c r="A369" s="2" t="str">
        <v>01/05 ВС</v>
      </c>
      <c r="B369" s="2" t="str">
        <v>14:00</v>
      </c>
      <c r="C369" s="2" t="str">
        <v>ИСПАНИЯ ИСПАНИЯ</v>
      </c>
      <c r="D369" s="2" t="str">
        <v>Вильярреал (Б)-Балеарес</v>
      </c>
      <c r="E369" s="2" t="str">
        <v>1.95</v>
      </c>
      <c r="F369" s="2" t="str">
        <v>3.10</v>
      </c>
      <c r="G369" s="2" t="str">
        <v>3.60</v>
      </c>
    </row>
    <row r="370">
      <c r="A370" s="2" t="str">
        <v>01/05 ВС</v>
      </c>
      <c r="B370" s="2" t="str">
        <v>14:00</v>
      </c>
      <c r="C370" s="2" t="str">
        <v>ИСПАНИЯ ИСПАНИЯ</v>
      </c>
      <c r="D370" s="2" t="str">
        <v>УКАМ Мурсия-Линарес</v>
      </c>
      <c r="E370" s="2" t="str">
        <v>2.30</v>
      </c>
      <c r="F370" s="2" t="str">
        <v>3.20</v>
      </c>
      <c r="G370" s="2" t="str">
        <v>2.70</v>
      </c>
    </row>
    <row r="371">
      <c r="A371" s="2" t="str">
        <v>01/05 ВС</v>
      </c>
      <c r="B371" s="2" t="str">
        <v>19:00</v>
      </c>
      <c r="C371" s="2" t="str">
        <v>ИСПАНИЯ ИСПАНИЯ</v>
      </c>
      <c r="D371" s="2" t="str">
        <v>Санлукуэно-Коста-Брава</v>
      </c>
      <c r="E371" s="2" t="str">
        <v>1.44</v>
      </c>
      <c r="F371" s="2" t="str">
        <v>4.50</v>
      </c>
      <c r="G371" s="2" t="str">
        <v>5.50</v>
      </c>
    </row>
    <row r="372">
      <c r="A372" s="2" t="str">
        <v>01/05 ВС</v>
      </c>
      <c r="B372" s="2" t="str">
        <v>21:00</v>
      </c>
      <c r="C372" s="2" t="str">
        <v>ИСПАНИЯ ИСПАНИЯ</v>
      </c>
      <c r="D372" s="2" t="str">
        <v>Сабадель-Химнастик</v>
      </c>
      <c r="E372" s="2" t="str">
        <v>1.95</v>
      </c>
      <c r="F372" s="2" t="str">
        <v>2.80</v>
      </c>
      <c r="G372" s="2" t="str">
        <v>4.00</v>
      </c>
    </row>
    <row r="373">
      <c r="A373" s="2" t="str">
        <v>01/05 ВС</v>
      </c>
      <c r="B373" s="2" t="str">
        <v>14:00</v>
      </c>
      <c r="C373" s="2" t="str">
        <v>ИСПАНИЯ ИСПАНИЯ</v>
      </c>
      <c r="D373" s="2" t="str">
        <v>Реал Авилес-Леганес (Б)</v>
      </c>
      <c r="E373" s="2" t="str">
        <v>-</v>
      </c>
      <c r="F373" s="2" t="str">
        <v>-</v>
      </c>
      <c r="G373" s="2" t="str">
        <v>-</v>
      </c>
    </row>
    <row r="374">
      <c r="A374" s="2" t="str">
        <v>01/05 ВС</v>
      </c>
      <c r="B374" s="2" t="str">
        <v>19:00</v>
      </c>
      <c r="C374" s="2" t="str">
        <v>ИСПАНИЯ ИСПАНИЯ</v>
      </c>
      <c r="D374" s="2" t="str">
        <v>Ароса-Мостолес</v>
      </c>
      <c r="E374" s="2" t="str">
        <v>-</v>
      </c>
      <c r="F374" s="2" t="str">
        <v>-</v>
      </c>
      <c r="G374" s="2" t="str">
        <v>-</v>
      </c>
    </row>
    <row r="375">
      <c r="A375" s="2" t="str">
        <v>01/05 ВС</v>
      </c>
      <c r="B375" s="2" t="str">
        <v>19:00</v>
      </c>
      <c r="C375" s="2" t="str">
        <v>ИСПАНИЯ ИСПАНИЯ</v>
      </c>
      <c r="D375" s="2" t="str">
        <v>Коруксо-Марино де Луанко</v>
      </c>
      <c r="E375" s="2" t="str">
        <v>-</v>
      </c>
      <c r="F375" s="2" t="str">
        <v>-</v>
      </c>
      <c r="G375" s="2" t="str">
        <v>-</v>
      </c>
    </row>
    <row r="376">
      <c r="A376" s="2" t="str">
        <v>01/05 ВС</v>
      </c>
      <c r="B376" s="2" t="str">
        <v>19:00</v>
      </c>
      <c r="C376" s="2" t="str">
        <v>ИСПАНИЯ ИСПАНИЯ</v>
      </c>
      <c r="D376" s="2" t="str">
        <v>Навалькарнеро-Бергантиньос</v>
      </c>
      <c r="E376" s="2" t="str">
        <v>-</v>
      </c>
      <c r="F376" s="2" t="str">
        <v>-</v>
      </c>
      <c r="G376" s="2" t="str">
        <v>-</v>
      </c>
    </row>
    <row r="377">
      <c r="A377" s="2" t="str">
        <v>01/05 ВС</v>
      </c>
      <c r="B377" s="2" t="str">
        <v>19:00</v>
      </c>
      <c r="C377" s="2" t="str">
        <v>ИСПАНИЯ ИСПАНИЯ</v>
      </c>
      <c r="D377" s="2" t="str">
        <v>Саламанка-Паленсия КА</v>
      </c>
      <c r="E377" s="2" t="str">
        <v>-</v>
      </c>
      <c r="F377" s="2" t="str">
        <v>-</v>
      </c>
      <c r="G377" s="2" t="str">
        <v>-</v>
      </c>
    </row>
    <row r="378">
      <c r="A378" s="2" t="str">
        <v>01/05 ВС</v>
      </c>
      <c r="B378" s="2" t="str">
        <v>20:00</v>
      </c>
      <c r="C378" s="2" t="str">
        <v>ИСПАНИЯ ИСПАНИЯ</v>
      </c>
      <c r="D378" s="2" t="str">
        <v>Гимнастика Сеговиана-Льянера</v>
      </c>
      <c r="E378" s="2" t="str">
        <v>-</v>
      </c>
      <c r="F378" s="2" t="str">
        <v>-</v>
      </c>
      <c r="G378" s="2" t="str">
        <v>-</v>
      </c>
    </row>
    <row r="379">
      <c r="A379" s="2" t="str">
        <v>01/05 ВС</v>
      </c>
      <c r="B379" s="2" t="str">
        <v>19:00</v>
      </c>
      <c r="C379" s="2" t="str">
        <v>ИСПАНИЯ ИСПАНИЯ</v>
      </c>
      <c r="D379" s="2" t="str">
        <v>Расинг Риоха-Сан-Хуан</v>
      </c>
      <c r="E379" s="2" t="str">
        <v>-</v>
      </c>
      <c r="F379" s="2" t="str">
        <v>-</v>
      </c>
      <c r="G379" s="2" t="str">
        <v>-</v>
      </c>
    </row>
    <row r="380">
      <c r="A380" s="2" t="str">
        <v>01/05 ВС</v>
      </c>
      <c r="B380" s="2" t="str">
        <v>19:30</v>
      </c>
      <c r="C380" s="2" t="str">
        <v>ИСПАНИЯ ИСПАНИЯ</v>
      </c>
      <c r="D380" s="2" t="str">
        <v>Бургос Промесас-Аренас Клуб</v>
      </c>
      <c r="E380" s="2" t="str">
        <v>-</v>
      </c>
      <c r="F380" s="2" t="str">
        <v>-</v>
      </c>
      <c r="G380" s="2" t="str">
        <v>-</v>
      </c>
    </row>
    <row r="381">
      <c r="A381" s="2" t="str">
        <v>01/05 ВС</v>
      </c>
      <c r="B381" s="2" t="str">
        <v>19:30</v>
      </c>
      <c r="C381" s="2" t="str">
        <v>ИСПАНИЯ ИСПАНИЯ</v>
      </c>
      <c r="D381" s="2" t="str">
        <v>Герника Клуб-Наксара</v>
      </c>
      <c r="E381" s="2" t="str">
        <v>-</v>
      </c>
      <c r="F381" s="2" t="str">
        <v>-</v>
      </c>
      <c r="G381" s="2" t="str">
        <v>-</v>
      </c>
    </row>
    <row r="382">
      <c r="A382" s="2" t="str">
        <v>01/05 ВС</v>
      </c>
      <c r="B382" s="2" t="str">
        <v>20:00</v>
      </c>
      <c r="C382" s="2" t="str">
        <v>ИСПАНИЯ ИСПАНИЯ</v>
      </c>
      <c r="D382" s="2" t="str">
        <v>Кайон-Тропесон</v>
      </c>
      <c r="E382" s="2" t="str">
        <v>-</v>
      </c>
      <c r="F382" s="2" t="str">
        <v>-</v>
      </c>
      <c r="G382" s="2" t="str">
        <v>-</v>
      </c>
    </row>
    <row r="383">
      <c r="A383" s="2" t="str">
        <v>01/05 ВС</v>
      </c>
      <c r="B383" s="2" t="str">
        <v>20:00</v>
      </c>
      <c r="C383" s="2" t="str">
        <v>ИСПАНИЯ ИСПАНИЯ</v>
      </c>
      <c r="D383" s="2" t="str">
        <v>Расинг (Б)-Исарра</v>
      </c>
      <c r="E383" s="2" t="str">
        <v>-</v>
      </c>
      <c r="F383" s="2" t="str">
        <v>-</v>
      </c>
      <c r="G383" s="2" t="str">
        <v>-</v>
      </c>
    </row>
    <row r="384">
      <c r="A384" s="2" t="str">
        <v>01/05 ВС</v>
      </c>
      <c r="B384" s="2" t="str">
        <v>14:00</v>
      </c>
      <c r="C384" s="2" t="str">
        <v>ИСПАНИЯ ИСПАНИЯ</v>
      </c>
      <c r="D384" s="2" t="str">
        <v>Андрач-Европа</v>
      </c>
      <c r="E384" s="2" t="str">
        <v>-</v>
      </c>
      <c r="F384" s="2" t="str">
        <v>-</v>
      </c>
      <c r="G384" s="2" t="str">
        <v>-</v>
      </c>
    </row>
    <row r="385">
      <c r="A385" s="2" t="str">
        <v>01/05 ВС</v>
      </c>
      <c r="B385" s="2" t="str">
        <v>14:00</v>
      </c>
      <c r="C385" s="2" t="str">
        <v>ИСПАНИЯ ИСПАНИЯ</v>
      </c>
      <c r="D385" s="2" t="str">
        <v>Ибица Ислас Питиусас-Бадалона</v>
      </c>
      <c r="E385" s="2" t="str">
        <v>-</v>
      </c>
      <c r="F385" s="2" t="str">
        <v>-</v>
      </c>
      <c r="G385" s="2" t="str">
        <v>-</v>
      </c>
    </row>
    <row r="386">
      <c r="A386" s="2" t="str">
        <v>01/05 ВС</v>
      </c>
      <c r="B386" s="2" t="str">
        <v>14:00</v>
      </c>
      <c r="C386" s="2" t="str">
        <v>ИСПАНИЯ ИСПАНИЯ</v>
      </c>
      <c r="D386" s="2" t="str">
        <v>Серданьола-дель-Вальес-Пенья Депортина</v>
      </c>
      <c r="E386" s="2" t="str">
        <v>-</v>
      </c>
      <c r="F386" s="2" t="str">
        <v>-</v>
      </c>
      <c r="G386" s="2" t="str">
        <v>-</v>
      </c>
    </row>
    <row r="387">
      <c r="A387" s="2" t="str">
        <v>01/05 ВС</v>
      </c>
      <c r="B387" s="2" t="str">
        <v>14:00</v>
      </c>
      <c r="C387" s="2" t="str">
        <v>ИСПАНИЯ ИСПАНИЯ</v>
      </c>
      <c r="D387" s="2" t="str">
        <v>Терраса-Форментера</v>
      </c>
      <c r="E387" s="2" t="str">
        <v>-</v>
      </c>
      <c r="F387" s="2" t="str">
        <v>-</v>
      </c>
      <c r="G387" s="2" t="str">
        <v>-</v>
      </c>
    </row>
    <row r="388">
      <c r="A388" s="2" t="str">
        <v>01/05 ВС</v>
      </c>
      <c r="B388" s="2" t="str">
        <v>14:00</v>
      </c>
      <c r="C388" s="2" t="str">
        <v>ИСПАНИЯ ИСПАНИЯ</v>
      </c>
      <c r="D388" s="2" t="str">
        <v>Эбро-Бреа</v>
      </c>
      <c r="E388" s="2" t="str">
        <v>-</v>
      </c>
      <c r="F388" s="2" t="str">
        <v>-</v>
      </c>
      <c r="G388" s="2" t="str">
        <v>-</v>
      </c>
    </row>
    <row r="389">
      <c r="A389" s="2" t="str">
        <v>01/05 ВС</v>
      </c>
      <c r="B389" s="2" t="str">
        <v>19:30</v>
      </c>
      <c r="C389" s="2" t="str">
        <v>ИСПАНИЯ ИСПАНИЯ</v>
      </c>
      <c r="D389" s="2" t="str">
        <v>Таразона-Прат</v>
      </c>
      <c r="E389" s="2" t="str">
        <v>-</v>
      </c>
      <c r="F389" s="2" t="str">
        <v>-</v>
      </c>
      <c r="G389" s="2" t="str">
        <v>-</v>
      </c>
    </row>
    <row r="390">
      <c r="A390" s="2" t="str">
        <v>01/05 ВС</v>
      </c>
      <c r="B390" s="2" t="str">
        <v>20:00</v>
      </c>
      <c r="C390" s="2" t="str">
        <v>ИСПАНИЯ ИСПАНИЯ</v>
      </c>
      <c r="D390" s="2" t="str">
        <v>Ллейда-Уэска (Б)</v>
      </c>
      <c r="E390" s="2" t="str">
        <v>-</v>
      </c>
      <c r="F390" s="2" t="str">
        <v>-</v>
      </c>
      <c r="G390" s="2" t="str">
        <v>-</v>
      </c>
    </row>
    <row r="391">
      <c r="A391" s="2" t="str">
        <v>01/05 ВС</v>
      </c>
      <c r="B391" s="2" t="str">
        <v>20:00</v>
      </c>
      <c r="C391" s="2" t="str">
        <v>ИСПАНИЯ ИСПАНИЯ</v>
      </c>
      <c r="D391" s="2" t="str">
        <v>Теруэль-Нумансия</v>
      </c>
      <c r="E391" s="2" t="str">
        <v>-</v>
      </c>
      <c r="F391" s="2" t="str">
        <v>-</v>
      </c>
      <c r="G391" s="2" t="str">
        <v>-</v>
      </c>
    </row>
    <row r="392">
      <c r="A392" s="2" t="str">
        <v>01/05 ВС</v>
      </c>
      <c r="B392" s="2" t="str">
        <v>14:00</v>
      </c>
      <c r="C392" s="2" t="str">
        <v>ИСПАНИЯ ИСПАНИЯ</v>
      </c>
      <c r="D392" s="2" t="str">
        <v>Велес-Антекера</v>
      </c>
      <c r="E392" s="2" t="str">
        <v>-</v>
      </c>
      <c r="F392" s="2" t="str">
        <v>-</v>
      </c>
      <c r="G392" s="2" t="str">
        <v>-</v>
      </c>
    </row>
    <row r="393">
      <c r="A393" s="2" t="str">
        <v>01/05 ВС</v>
      </c>
      <c r="B393" s="2" t="str">
        <v>14:00</v>
      </c>
      <c r="C393" s="2" t="str">
        <v>ИСПАНИЯ ИСПАНИЯ</v>
      </c>
      <c r="D393" s="2" t="str">
        <v>Кадис (Б)-Сан Фернандо</v>
      </c>
      <c r="E393" s="2" t="str">
        <v>-</v>
      </c>
      <c r="F393" s="2" t="str">
        <v>-</v>
      </c>
      <c r="G393" s="2" t="str">
        <v>-</v>
      </c>
    </row>
    <row r="394">
      <c r="A394" s="2" t="str">
        <v>01/05 ВС</v>
      </c>
      <c r="B394" s="2" t="str">
        <v>14:00</v>
      </c>
      <c r="C394" s="2" t="str">
        <v>ИСПАНИЯ ИСПАНИЯ</v>
      </c>
      <c r="D394" s="2" t="str">
        <v>Кория-Тамарасейте</v>
      </c>
      <c r="E394" s="2" t="str">
        <v>-</v>
      </c>
      <c r="F394" s="2" t="str">
        <v>-</v>
      </c>
      <c r="G394" s="2" t="str">
        <v>-</v>
      </c>
    </row>
    <row r="395">
      <c r="A395" s="2" t="str">
        <v>01/05 ВС</v>
      </c>
      <c r="B395" s="2" t="str">
        <v>14:00</v>
      </c>
      <c r="C395" s="2" t="str">
        <v>ИСПАНИЯ ИСПАНИЯ</v>
      </c>
      <c r="D395" s="2" t="str">
        <v>Сеута-Сан-Рока</v>
      </c>
      <c r="E395" s="2" t="str">
        <v>-</v>
      </c>
      <c r="F395" s="2" t="str">
        <v>-</v>
      </c>
      <c r="G395" s="2" t="str">
        <v>-</v>
      </c>
    </row>
    <row r="396">
      <c r="A396" s="2" t="str">
        <v>01/05 ВС</v>
      </c>
      <c r="B396" s="2" t="str">
        <v>15:00</v>
      </c>
      <c r="C396" s="2" t="str">
        <v>ИСПАНИЯ ИСПАНИЯ</v>
      </c>
      <c r="D396" s="2" t="str">
        <v>Лас-Пальмас (Б)-Какерено</v>
      </c>
      <c r="E396" s="2" t="str">
        <v>-</v>
      </c>
      <c r="F396" s="2" t="str">
        <v>-</v>
      </c>
      <c r="G396" s="2" t="str">
        <v>-</v>
      </c>
    </row>
    <row r="397">
      <c r="A397" s="2" t="str">
        <v>01/05 ВС</v>
      </c>
      <c r="B397" s="2" t="str">
        <v>15:00</v>
      </c>
      <c r="C397" s="2" t="str">
        <v>ИСПАНИЯ ИСПАНИЯ</v>
      </c>
      <c r="D397" s="2" t="str">
        <v>Панадерия-Кордоба</v>
      </c>
      <c r="E397" s="2" t="str">
        <v>-</v>
      </c>
      <c r="F397" s="2" t="str">
        <v>-</v>
      </c>
      <c r="G397" s="2" t="str">
        <v>-</v>
      </c>
    </row>
    <row r="398">
      <c r="A398" s="2" t="str">
        <v>01/05 ВС</v>
      </c>
      <c r="B398" s="2" t="str">
        <v>20:00</v>
      </c>
      <c r="C398" s="2" t="str">
        <v>ИСПАНИЯ ИСПАНИЯ</v>
      </c>
      <c r="D398" s="2" t="str">
        <v>Херес Депортиво-Менсахеро</v>
      </c>
      <c r="E398" s="2" t="str">
        <v>-</v>
      </c>
      <c r="F398" s="2" t="str">
        <v>-</v>
      </c>
      <c r="G398" s="2" t="str">
        <v>-</v>
      </c>
    </row>
    <row r="399">
      <c r="A399" s="2" t="str">
        <v>01/05 ВС</v>
      </c>
      <c r="B399" s="2" t="str">
        <v>22:00</v>
      </c>
      <c r="C399" s="2" t="str">
        <v>ИСПАНИЯ ИСПАНИЯ</v>
      </c>
      <c r="D399" s="2" t="str">
        <v>Мерида АД-Вильяновенсе</v>
      </c>
      <c r="E399" s="2" t="str">
        <v>-</v>
      </c>
      <c r="F399" s="2" t="str">
        <v>-</v>
      </c>
      <c r="G399" s="2" t="str">
        <v>-</v>
      </c>
    </row>
    <row r="400">
      <c r="A400" s="2" t="str">
        <v>01/05 ВС</v>
      </c>
      <c r="B400" s="2" t="str">
        <v>14:00</v>
      </c>
      <c r="C400" s="2" t="str">
        <v>ИСПАНИЯ ИСПАНИЯ</v>
      </c>
      <c r="D400" s="2" t="str">
        <v>Мелилла-Пуэртольяно</v>
      </c>
      <c r="E400" s="2" t="str">
        <v>-</v>
      </c>
      <c r="F400" s="2" t="str">
        <v>-</v>
      </c>
      <c r="G400" s="2" t="str">
        <v>-</v>
      </c>
    </row>
    <row r="401">
      <c r="A401" s="2" t="str">
        <v>01/05 ВС</v>
      </c>
      <c r="B401" s="2" t="str">
        <v>14:00</v>
      </c>
      <c r="C401" s="2" t="str">
        <v>ИСПАНИЯ ИСПАНИЯ</v>
      </c>
      <c r="D401" s="2" t="str">
        <v>Сокуэльямос-Алсира</v>
      </c>
      <c r="E401" s="2" t="str">
        <v>-</v>
      </c>
      <c r="F401" s="2" t="str">
        <v>-</v>
      </c>
      <c r="G401" s="2" t="str">
        <v>-</v>
      </c>
    </row>
    <row r="402">
      <c r="A402" s="2" t="str">
        <v>01/05 ВС</v>
      </c>
      <c r="B402" s="2" t="str">
        <v>19:30</v>
      </c>
      <c r="C402" s="2" t="str">
        <v>ИСПАНИЯ ИСПАНИЯ</v>
      </c>
      <c r="D402" s="2" t="str">
        <v>Мурсия-Агилас</v>
      </c>
      <c r="E402" s="2" t="str">
        <v>-</v>
      </c>
      <c r="F402" s="2" t="str">
        <v>-</v>
      </c>
      <c r="G402" s="2" t="str">
        <v>-</v>
      </c>
    </row>
    <row r="403">
      <c r="A403" s="2" t="str">
        <v>01/05 ВС</v>
      </c>
      <c r="B403" s="2" t="str">
        <v>20:00</v>
      </c>
      <c r="C403" s="2" t="str">
        <v>ИСПАНИЯ ИСПАНИЯ</v>
      </c>
      <c r="D403" s="2" t="str">
        <v>Эльденсе-Толедо</v>
      </c>
      <c r="E403" s="2" t="str">
        <v>-</v>
      </c>
      <c r="F403" s="2" t="str">
        <v>-</v>
      </c>
      <c r="G403" s="2" t="str">
        <v>-</v>
      </c>
    </row>
    <row r="404">
      <c r="A404" s="2" t="str">
        <v>01/05 ВС</v>
      </c>
      <c r="B404" s="2" t="str">
        <v>20:00</v>
      </c>
      <c r="C404" s="2" t="str">
        <v>ИСПАНИЯ ИСПАНИЯ</v>
      </c>
      <c r="D404" s="2" t="str">
        <v>Эркулес-Манча</v>
      </c>
      <c r="E404" s="2" t="str">
        <v>-</v>
      </c>
      <c r="F404" s="2" t="str">
        <v>-</v>
      </c>
      <c r="G404" s="2" t="str">
        <v>-</v>
      </c>
    </row>
    <row r="405">
      <c r="A405" s="2" t="str">
        <v>01/05 ВС</v>
      </c>
      <c r="B405" s="2" t="str">
        <v>20:00</v>
      </c>
      <c r="C405" s="2" t="str">
        <v>ИСПАНИЯ ИСПАНИЯ</v>
      </c>
      <c r="D405" s="2" t="str">
        <v>Эхидо-Гранада (Б)</v>
      </c>
      <c r="E405" s="2" t="str">
        <v>-</v>
      </c>
      <c r="F405" s="2" t="str">
        <v>-</v>
      </c>
      <c r="G405" s="2" t="str">
        <v>-</v>
      </c>
    </row>
    <row r="406">
      <c r="A406" s="2" t="str">
        <v>01/05 ВС</v>
      </c>
      <c r="B406" s="2" t="str">
        <v>21:00</v>
      </c>
      <c r="C406" s="2" t="str">
        <v>ИСПАНИЯ ИСПАНИЯ</v>
      </c>
      <c r="D406" s="2" t="str">
        <v>Ла-Нусия-Марчамало</v>
      </c>
      <c r="E406" s="2" t="str">
        <v>-</v>
      </c>
      <c r="F406" s="2" t="str">
        <v>-</v>
      </c>
      <c r="G406" s="2" t="str">
        <v>-</v>
      </c>
    </row>
    <row r="407">
      <c r="A407" s="2" t="str">
        <v>01/05 ВС</v>
      </c>
      <c r="B407" s="2" t="str">
        <v>14:00</v>
      </c>
      <c r="C407" s="2" t="str">
        <v>ИСПАНИЯ ИСПАНИЯ</v>
      </c>
      <c r="D407" s="2" t="str">
        <v>Оренсе-Депортиво Фабриль</v>
      </c>
      <c r="E407" s="2" t="str">
        <v>-</v>
      </c>
      <c r="F407" s="2" t="str">
        <v>-</v>
      </c>
      <c r="G407" s="2" t="str">
        <v>-</v>
      </c>
    </row>
    <row r="408">
      <c r="A408" s="2" t="str">
        <v>01/05 ВС</v>
      </c>
      <c r="B408" s="2" t="str">
        <v>20:45</v>
      </c>
      <c r="C408" s="2" t="str">
        <v>ИСПАНИЯ ИСПАНИЯ</v>
      </c>
      <c r="D408" s="2" t="str">
        <v>Сомосас-Барко</v>
      </c>
      <c r="E408" s="2" t="str">
        <v>-</v>
      </c>
      <c r="F408" s="2" t="str">
        <v>-</v>
      </c>
      <c r="G408" s="2" t="str">
        <v>-</v>
      </c>
    </row>
    <row r="409" xml:space="preserve">
      <c r="A409" s="2" t="str">
        <v>01/05 ВС</v>
      </c>
      <c r="B409" s="2" t="str" xml:space="preserve">
        <v xml:space="preserve">19:00_x000d_
TKP</v>
      </c>
      <c r="C409" s="2" t="str">
        <v>ИСПАНИЯ ИСПАНИЯ</v>
      </c>
      <c r="D409" s="2" t="str">
        <v>Басико Уррака-Леалтад</v>
      </c>
      <c r="E409" s="2" t="str">
        <v>-</v>
      </c>
      <c r="F409" s="2" t="str">
        <v>-</v>
      </c>
      <c r="G409" s="2" t="str">
        <v>-</v>
      </c>
    </row>
    <row r="410" xml:space="preserve">
      <c r="A410" s="2" t="str">
        <v>01/05 ВС</v>
      </c>
      <c r="B410" s="2" t="str" xml:space="preserve">
        <v xml:space="preserve">19:00_x000d_
TKP</v>
      </c>
      <c r="C410" s="2" t="str">
        <v>ИСПАНИЯ ИСПАНИЯ</v>
      </c>
      <c r="D410" s="2" t="str">
        <v>Ковадонга-Льянес</v>
      </c>
      <c r="E410" s="2" t="str">
        <v>-</v>
      </c>
      <c r="F410" s="2" t="str">
        <v>-</v>
      </c>
      <c r="G410" s="2" t="str">
        <v>-</v>
      </c>
    </row>
    <row r="411" xml:space="preserve">
      <c r="A411" s="2" t="str">
        <v>01/05 ВС</v>
      </c>
      <c r="B411" s="2" t="str" xml:space="preserve">
        <v xml:space="preserve">19:00_x000d_
TKP</v>
      </c>
      <c r="C411" s="2" t="str">
        <v>ИСПАНИЯ ИСПАНИЯ</v>
      </c>
      <c r="D411" s="2" t="str">
        <v>Лененсе-Спортинг (Б)</v>
      </c>
      <c r="E411" s="2" t="str">
        <v>-</v>
      </c>
      <c r="F411" s="2" t="str">
        <v>-</v>
      </c>
      <c r="G411" s="2" t="str">
        <v>-</v>
      </c>
    </row>
    <row r="412" xml:space="preserve">
      <c r="A412" s="2" t="str">
        <v>01/05 ВС</v>
      </c>
      <c r="B412" s="2" t="str" xml:space="preserve">
        <v xml:space="preserve">19:00_x000d_
TKP</v>
      </c>
      <c r="C412" s="2" t="str">
        <v>ИСПАНИЯ ИСПАНИЯ</v>
      </c>
      <c r="D412" s="2" t="str">
        <v>Москония-Саудаль Депортиво</v>
      </c>
      <c r="E412" s="2" t="str">
        <v>-</v>
      </c>
      <c r="F412" s="2" t="str">
        <v>-</v>
      </c>
      <c r="G412" s="2" t="str">
        <v>-</v>
      </c>
    </row>
    <row r="413" xml:space="preserve">
      <c r="A413" s="2" t="str">
        <v>01/05 ВС</v>
      </c>
      <c r="B413" s="2" t="str" xml:space="preserve">
        <v xml:space="preserve">19:00_x000d_
TKP</v>
      </c>
      <c r="C413" s="2" t="str">
        <v>ИСПАНИЯ ИСПАНИЯ</v>
      </c>
      <c r="D413" s="2" t="str">
        <v>Правиано-Эль-Энтрего</v>
      </c>
      <c r="E413" s="2" t="str">
        <v>-</v>
      </c>
      <c r="F413" s="2" t="str">
        <v>-</v>
      </c>
      <c r="G413" s="2" t="str">
        <v>-</v>
      </c>
    </row>
    <row r="414" xml:space="preserve">
      <c r="A414" s="2" t="str">
        <v>01/05 ВС</v>
      </c>
      <c r="B414" s="2" t="str" xml:space="preserve">
        <v xml:space="preserve">19:00_x000d_
TKP</v>
      </c>
      <c r="C414" s="2" t="str">
        <v>ИСПАНИЯ ИСПАНИЯ</v>
      </c>
      <c r="D414" s="2" t="str">
        <v>Реал Овьедо (Б)-Колунга</v>
      </c>
      <c r="E414" s="2" t="str">
        <v>-</v>
      </c>
      <c r="F414" s="2" t="str">
        <v>-</v>
      </c>
      <c r="G414" s="2" t="str">
        <v>-</v>
      </c>
    </row>
    <row r="415" xml:space="preserve">
      <c r="A415" s="2" t="str">
        <v>01/05 ВС</v>
      </c>
      <c r="B415" s="2" t="str" xml:space="preserve">
        <v xml:space="preserve">19:00_x000d_
TKP</v>
      </c>
      <c r="C415" s="2" t="str">
        <v>ИСПАНИЯ ИСПАНИЯ</v>
      </c>
      <c r="D415" s="2" t="str">
        <v>Реал Титанико-Лангрео (Б)</v>
      </c>
      <c r="E415" s="2" t="str">
        <v>-</v>
      </c>
      <c r="F415" s="2" t="str">
        <v>-</v>
      </c>
      <c r="G415" s="2" t="str">
        <v>-</v>
      </c>
    </row>
    <row r="416" xml:space="preserve">
      <c r="A416" s="2" t="str">
        <v>01/05 ВС</v>
      </c>
      <c r="B416" s="2" t="str" xml:space="preserve">
        <v xml:space="preserve">19:00_x000d_
TKP</v>
      </c>
      <c r="C416" s="2" t="str">
        <v>ИСПАНИЯ ИСПАНИЯ</v>
      </c>
      <c r="D416" s="2" t="str">
        <v>Сан-Мартин-Луарка</v>
      </c>
      <c r="E416" s="2" t="str">
        <v>-</v>
      </c>
      <c r="F416" s="2" t="str">
        <v>-</v>
      </c>
      <c r="G416" s="2" t="str">
        <v>-</v>
      </c>
    </row>
    <row r="417" xml:space="preserve">
      <c r="A417" s="2" t="str">
        <v>01/05 ВС</v>
      </c>
      <c r="B417" s="2" t="str" xml:space="preserve">
        <v xml:space="preserve">19:00_x000d_
TKP</v>
      </c>
      <c r="C417" s="2" t="str">
        <v>ИСПАНИЯ ИСПАНИЯ</v>
      </c>
      <c r="D417" s="2" t="str">
        <v>Хихон Индустриаль-Туилья</v>
      </c>
      <c r="E417" s="2" t="str">
        <v>-</v>
      </c>
      <c r="F417" s="2" t="str">
        <v>-</v>
      </c>
      <c r="G417" s="2" t="str">
        <v>-</v>
      </c>
    </row>
    <row r="418" xml:space="preserve">
      <c r="A418" s="2" t="str">
        <v>01/05 ВС</v>
      </c>
      <c r="B418" s="2" t="str" xml:space="preserve">
        <v xml:space="preserve">20:00_x000d_
TKP</v>
      </c>
      <c r="C418" s="2" t="str">
        <v>ИСПАНИЯ ИСПАНИЯ</v>
      </c>
      <c r="D418" s="2" t="str">
        <v>Аско-Грама</v>
      </c>
      <c r="E418" s="2" t="str">
        <v>-</v>
      </c>
      <c r="F418" s="2" t="str">
        <v>-</v>
      </c>
      <c r="G418" s="2" t="str">
        <v>-</v>
      </c>
    </row>
    <row r="419" xml:space="preserve">
      <c r="A419" s="2" t="str">
        <v>01/05 ВС</v>
      </c>
      <c r="B419" s="2" t="str" xml:space="preserve">
        <v xml:space="preserve">20:00_x000d_
TKP</v>
      </c>
      <c r="C419" s="2" t="str">
        <v>ИСПАНИЯ ИСПАНИЯ</v>
      </c>
      <c r="D419" s="2" t="str">
        <v>Вилассар-де-Мар-Кастельдефельс</v>
      </c>
      <c r="E419" s="2" t="str">
        <v>-</v>
      </c>
      <c r="F419" s="2" t="str">
        <v>-</v>
      </c>
      <c r="G419" s="2" t="str">
        <v>-</v>
      </c>
    </row>
    <row r="420" xml:space="preserve">
      <c r="A420" s="2" t="str">
        <v>01/05 ВС</v>
      </c>
      <c r="B420" s="2" t="str" xml:space="preserve">
        <v xml:space="preserve">20:00_x000d_
TKP</v>
      </c>
      <c r="C420" s="2" t="str">
        <v>ИСПАНИЯ ИСПАНИЯ</v>
      </c>
      <c r="D420" s="2" t="str">
        <v>Гинеуэта-Сан-Кристобаль</v>
      </c>
      <c r="E420" s="2" t="str">
        <v>-</v>
      </c>
      <c r="F420" s="2" t="str">
        <v>-</v>
      </c>
      <c r="G420" s="2" t="str">
        <v>-</v>
      </c>
    </row>
    <row r="421" xml:space="preserve">
      <c r="A421" s="2" t="str">
        <v>01/05 ВС</v>
      </c>
      <c r="B421" s="2" t="str" xml:space="preserve">
        <v xml:space="preserve">20:00_x000d_
TKP</v>
      </c>
      <c r="C421" s="2" t="str">
        <v>ИСПАНИЯ ИСПАНИЯ</v>
      </c>
      <c r="D421" s="2" t="str">
        <v>Гранольерс-Побла Мафумет</v>
      </c>
      <c r="E421" s="2" t="str">
        <v>-</v>
      </c>
      <c r="F421" s="2" t="str">
        <v>-</v>
      </c>
      <c r="G421" s="2" t="str">
        <v>-</v>
      </c>
    </row>
    <row r="422" xml:space="preserve">
      <c r="A422" s="2" t="str">
        <v>01/05 ВС</v>
      </c>
      <c r="B422" s="2" t="str" xml:space="preserve">
        <v xml:space="preserve">20:00_x000d_
TKP</v>
      </c>
      <c r="C422" s="2" t="str">
        <v>ИСПАНИЯ ИСПАНИЯ</v>
      </c>
      <c r="D422" s="2" t="str">
        <v>Оспиталет-Манреса</v>
      </c>
      <c r="E422" s="2" t="str">
        <v>-</v>
      </c>
      <c r="F422" s="2" t="str">
        <v>-</v>
      </c>
      <c r="G422" s="2" t="str">
        <v>-</v>
      </c>
    </row>
    <row r="423" xml:space="preserve">
      <c r="A423" s="2" t="str">
        <v>01/05 ВС</v>
      </c>
      <c r="B423" s="2" t="str" xml:space="preserve">
        <v xml:space="preserve">20:00_x000d_
TKP</v>
      </c>
      <c r="C423" s="2" t="str">
        <v>ИСПАНИЯ ИСПАНИЯ</v>
      </c>
      <c r="D423" s="2" t="str">
        <v>Пералада-Жирона (Б)</v>
      </c>
      <c r="E423" s="2" t="str">
        <v>-</v>
      </c>
      <c r="F423" s="2" t="str">
        <v>-</v>
      </c>
      <c r="G423" s="2" t="str">
        <v>-</v>
      </c>
    </row>
    <row r="424" xml:space="preserve">
      <c r="A424" s="2" t="str">
        <v>01/05 ВС</v>
      </c>
      <c r="B424" s="2" t="str" xml:space="preserve">
        <v xml:space="preserve">20:00_x000d_
TKP</v>
      </c>
      <c r="C424" s="2" t="str">
        <v>ИСПАНИЯ ИСПАНИЯ</v>
      </c>
      <c r="D424" s="2" t="str">
        <v>Сант-Андрю-Фигерас</v>
      </c>
      <c r="E424" s="2" t="str">
        <v>-</v>
      </c>
      <c r="F424" s="2" t="str">
        <v>-</v>
      </c>
      <c r="G424" s="2" t="str">
        <v>-</v>
      </c>
    </row>
    <row r="425" xml:space="preserve">
      <c r="A425" s="2" t="str">
        <v>01/05 ВС</v>
      </c>
      <c r="B425" s="2" t="str" xml:space="preserve">
        <v xml:space="preserve">20:00_x000d_
TKP</v>
      </c>
      <c r="C425" s="2" t="str">
        <v>ИСПАНИЯ ИСПАНИЯ</v>
      </c>
      <c r="D425" s="2" t="str">
        <v>УЕ Сантс-Вильяфранка</v>
      </c>
      <c r="E425" s="2" t="str">
        <v>-</v>
      </c>
      <c r="F425" s="2" t="str">
        <v>-</v>
      </c>
      <c r="G425" s="2" t="str">
        <v>-</v>
      </c>
    </row>
    <row r="426" xml:space="preserve">
      <c r="A426" s="2" t="str">
        <v>01/05 ВС</v>
      </c>
      <c r="B426" s="2" t="str" xml:space="preserve">
        <v xml:space="preserve">20:00_x000d_
TKP</v>
      </c>
      <c r="C426" s="2" t="str">
        <v>ИСПАНИЯ ИСПАНИЯ</v>
      </c>
      <c r="D426" s="2" t="str">
        <v>Адзанета-Торрент</v>
      </c>
      <c r="E426" s="2" t="str">
        <v>-</v>
      </c>
      <c r="F426" s="2" t="str">
        <v>-</v>
      </c>
      <c r="G426" s="2" t="str">
        <v>-</v>
      </c>
    </row>
    <row r="427" xml:space="preserve">
      <c r="A427" s="2" t="str">
        <v>01/05 ВС</v>
      </c>
      <c r="B427" s="2" t="str" xml:space="preserve">
        <v xml:space="preserve">20:00_x000d_
TKP</v>
      </c>
      <c r="C427" s="2" t="str">
        <v>ИСПАНИЯ ИСПАНИЯ</v>
      </c>
      <c r="D427" s="2" t="str">
        <v>Илиситано-Асеро</v>
      </c>
      <c r="E427" s="2" t="str">
        <v>-</v>
      </c>
      <c r="F427" s="2" t="str">
        <v>-</v>
      </c>
      <c r="G427" s="2" t="str">
        <v>-</v>
      </c>
    </row>
    <row r="428" xml:space="preserve">
      <c r="A428" s="2" t="str">
        <v>01/05 ВС</v>
      </c>
      <c r="B428" s="2" t="str" xml:space="preserve">
        <v xml:space="preserve">20:00_x000d_
TKP</v>
      </c>
      <c r="C428" s="2" t="str">
        <v>ИСПАНИЯ ИСПАНИЯ</v>
      </c>
      <c r="D428" s="2" t="str">
        <v>Олимпик Хатива-Ориуэла</v>
      </c>
      <c r="E428" s="2" t="str">
        <v>-</v>
      </c>
      <c r="F428" s="2" t="str">
        <v>-</v>
      </c>
      <c r="G428" s="2" t="str">
        <v>-</v>
      </c>
    </row>
    <row r="429" xml:space="preserve">
      <c r="A429" s="2" t="str">
        <v>01/05 ВС</v>
      </c>
      <c r="B429" s="2" t="str" xml:space="preserve">
        <v xml:space="preserve">20:00_x000d_
TKP</v>
      </c>
      <c r="C429" s="2" t="str">
        <v>ИСПАНИЯ ИСПАНИЯ</v>
      </c>
      <c r="D429" s="2" t="str">
        <v>Рода-Сагунтино</v>
      </c>
      <c r="E429" s="2" t="str">
        <v>-</v>
      </c>
      <c r="F429" s="2" t="str">
        <v>-</v>
      </c>
      <c r="G429" s="2" t="str">
        <v>-</v>
      </c>
    </row>
    <row r="430" xml:space="preserve">
      <c r="A430" s="2" t="str">
        <v>01/05 ВС</v>
      </c>
      <c r="B430" s="2" t="str" xml:space="preserve">
        <v xml:space="preserve">20:00_x000d_
TKP</v>
      </c>
      <c r="C430" s="2" t="str">
        <v>ИСПАНИЯ ИСПАНИЯ</v>
      </c>
      <c r="D430" s="2" t="str">
        <v>Хове-Кастельон (Б)</v>
      </c>
      <c r="E430" s="2" t="str">
        <v>-</v>
      </c>
      <c r="F430" s="2" t="str">
        <v>-</v>
      </c>
      <c r="G430" s="2" t="str">
        <v>-</v>
      </c>
    </row>
    <row r="431" xml:space="preserve">
      <c r="A431" s="2" t="str">
        <v>01/05 ВС</v>
      </c>
      <c r="B431" s="2" t="str" xml:space="preserve">
        <v xml:space="preserve">14:00_x000d_
TKP</v>
      </c>
      <c r="C431" s="2" t="str">
        <v>ИСПАНИЯ ИСПАНИЯ</v>
      </c>
      <c r="D431" s="2" t="str">
        <v>Алкала Херанес-Вильявисьоса</v>
      </c>
      <c r="E431" s="2" t="str">
        <v>-</v>
      </c>
      <c r="F431" s="2" t="str">
        <v>-</v>
      </c>
      <c r="G431" s="2" t="str">
        <v>-</v>
      </c>
    </row>
    <row r="432" xml:space="preserve">
      <c r="A432" s="2" t="str">
        <v>01/05 ВС</v>
      </c>
      <c r="B432" s="2" t="str" xml:space="preserve">
        <v xml:space="preserve">14:00_x000d_
TKP</v>
      </c>
      <c r="C432" s="2" t="str">
        <v>ИСПАНИЯ ИСПАНИЯ</v>
      </c>
      <c r="D432" s="2" t="str">
        <v>Алькоркон (Б)-Трес Кантос</v>
      </c>
      <c r="E432" s="2" t="str">
        <v>-</v>
      </c>
      <c r="F432" s="2" t="str">
        <v>-</v>
      </c>
      <c r="G432" s="2" t="str">
        <v>-</v>
      </c>
    </row>
    <row r="433" xml:space="preserve">
      <c r="A433" s="2" t="str">
        <v>01/05 ВС</v>
      </c>
      <c r="B433" s="2" t="str" xml:space="preserve">
        <v xml:space="preserve">14:00_x000d_
TKP</v>
      </c>
      <c r="C433" s="2" t="str">
        <v>ИСПАНИЯ ИСПАНИЯ</v>
      </c>
      <c r="D433" s="2" t="str">
        <v>Атлетико (Б)-СДЕ Мадрид</v>
      </c>
      <c r="E433" s="2" t="str">
        <v>-</v>
      </c>
      <c r="F433" s="2" t="str">
        <v>-</v>
      </c>
      <c r="G433" s="2" t="str">
        <v>-</v>
      </c>
    </row>
    <row r="434" xml:space="preserve">
      <c r="A434" s="2" t="str">
        <v>01/05 ВС</v>
      </c>
      <c r="B434" s="2" t="str" xml:space="preserve">
        <v xml:space="preserve">14:00_x000d_
TKP</v>
      </c>
      <c r="C434" s="2" t="str">
        <v>ИСПАНИЯ ИСПАНИЯ</v>
      </c>
      <c r="D434" s="2" t="str">
        <v>Карабанчель-Урсария</v>
      </c>
      <c r="E434" s="2" t="str">
        <v>-</v>
      </c>
      <c r="F434" s="2" t="str">
        <v>-</v>
      </c>
      <c r="G434" s="2" t="str">
        <v>-</v>
      </c>
    </row>
    <row r="435" xml:space="preserve">
      <c r="A435" s="2" t="str">
        <v>01/05 ВС</v>
      </c>
      <c r="B435" s="2" t="str" xml:space="preserve">
        <v xml:space="preserve">14:00_x000d_
TKP</v>
      </c>
      <c r="C435" s="2" t="str">
        <v>ИСПАНИЯ ИСПАНИЯ</v>
      </c>
      <c r="D435" s="2" t="str">
        <v>Колония-Парла</v>
      </c>
      <c r="E435" s="2" t="str">
        <v>-</v>
      </c>
      <c r="F435" s="2" t="str">
        <v>-</v>
      </c>
      <c r="G435" s="2" t="str">
        <v>-</v>
      </c>
    </row>
    <row r="436" xml:space="preserve">
      <c r="A436" s="2" t="str">
        <v>01/05 ВС</v>
      </c>
      <c r="B436" s="2" t="str" xml:space="preserve">
        <v xml:space="preserve">14:00_x000d_
TKP</v>
      </c>
      <c r="C436" s="2" t="str">
        <v>ИСПАНИЯ ИСПАНИЯ</v>
      </c>
      <c r="D436" s="2" t="str">
        <v>Комплутенсе-Мораталас</v>
      </c>
      <c r="E436" s="2" t="str">
        <v>-</v>
      </c>
      <c r="F436" s="2" t="str">
        <v>-</v>
      </c>
      <c r="G436" s="2" t="str">
        <v>-</v>
      </c>
    </row>
    <row r="437" xml:space="preserve">
      <c r="A437" s="2" t="str">
        <v>01/05 ВС</v>
      </c>
      <c r="B437" s="2" t="str" xml:space="preserve">
        <v xml:space="preserve">14:00_x000d_
TKP</v>
      </c>
      <c r="C437" s="2" t="str">
        <v>ИСПАНИЯ ИСПАНИЯ</v>
      </c>
      <c r="D437" s="2" t="str">
        <v>Лас-Росас-Хетафе (Б)</v>
      </c>
      <c r="E437" s="2" t="str">
        <v>-</v>
      </c>
      <c r="F437" s="2" t="str">
        <v>-</v>
      </c>
      <c r="G437" s="2" t="str">
        <v>-</v>
      </c>
    </row>
    <row r="438" xml:space="preserve">
      <c r="A438" s="2" t="str">
        <v>01/05 ВС</v>
      </c>
      <c r="B438" s="2" t="str" xml:space="preserve">
        <v xml:space="preserve">14:00_x000d_
TKP</v>
      </c>
      <c r="C438" s="2" t="str">
        <v>ИСПАНИЯ ИСПАНИЯ</v>
      </c>
      <c r="D438" s="2" t="str">
        <v>Паракуэльос Антамира-Вильяверде Сан-Андрес</v>
      </c>
      <c r="E438" s="2" t="str">
        <v>-</v>
      </c>
      <c r="F438" s="2" t="str">
        <v>-</v>
      </c>
      <c r="G438" s="2" t="str">
        <v>-</v>
      </c>
    </row>
    <row r="439" xml:space="preserve">
      <c r="A439" s="2" t="str">
        <v>01/05 ВС</v>
      </c>
      <c r="B439" s="2" t="str" xml:space="preserve">
        <v xml:space="preserve">14:00_x000d_
TKP</v>
      </c>
      <c r="C439" s="2" t="str">
        <v>ИСПАНИЯ ИСПАНИЯ</v>
      </c>
      <c r="D439" s="2" t="str">
        <v>Райо Вальекано (Б)-Тривал Вальдерас</v>
      </c>
      <c r="E439" s="2" t="str">
        <v>-</v>
      </c>
      <c r="F439" s="2" t="str">
        <v>-</v>
      </c>
      <c r="G439" s="2" t="str">
        <v>-</v>
      </c>
    </row>
    <row r="440" xml:space="preserve">
      <c r="A440" s="2" t="str">
        <v>01/05 ВС</v>
      </c>
      <c r="B440" s="2" t="str" xml:space="preserve">
        <v xml:space="preserve">14:00_x000d_
TKP</v>
      </c>
      <c r="C440" s="2" t="str">
        <v>ИСПАНИЯ ИСПАНИЯ</v>
      </c>
      <c r="D440" s="2" t="str">
        <v>Торрехон-Галапагар</v>
      </c>
      <c r="E440" s="2" t="str">
        <v>-</v>
      </c>
      <c r="F440" s="2" t="str">
        <v>-</v>
      </c>
      <c r="G440" s="2" t="str">
        <v>-</v>
      </c>
    </row>
    <row r="441" xml:space="preserve">
      <c r="A441" s="2" t="str">
        <v>01/05 ВС</v>
      </c>
      <c r="B441" s="2" t="str" xml:space="preserve">
        <v xml:space="preserve">13:30_x000d_
TKP</v>
      </c>
      <c r="C441" s="2" t="str">
        <v>ИСПАНИЯ ИСПАНИЯ</v>
      </c>
      <c r="D441" s="2" t="str">
        <v>Мальорка (Б)-Констанция</v>
      </c>
      <c r="E441" s="2" t="str">
        <v>-</v>
      </c>
      <c r="F441" s="2" t="str">
        <v>-</v>
      </c>
      <c r="G441" s="2" t="str">
        <v>-</v>
      </c>
    </row>
    <row r="442" xml:space="preserve">
      <c r="A442" s="2" t="str">
        <v>01/05 ВС</v>
      </c>
      <c r="B442" s="2" t="str" xml:space="preserve">
        <v xml:space="preserve">18:00_x000d_
TKP</v>
      </c>
      <c r="C442" s="2" t="str">
        <v>ИСПАНИЯ ИСПАНИЯ</v>
      </c>
      <c r="D442" s="2" t="str">
        <v>Биниссалем-Кампос</v>
      </c>
      <c r="E442" s="2" t="str">
        <v>-</v>
      </c>
      <c r="F442" s="2" t="str">
        <v>-</v>
      </c>
      <c r="G442" s="2" t="str">
        <v>-</v>
      </c>
    </row>
    <row r="443" xml:space="preserve">
      <c r="A443" s="2" t="str">
        <v>01/05 ВС</v>
      </c>
      <c r="B443" s="2" t="str" xml:space="preserve">
        <v xml:space="preserve">18:00_x000d_
TKP</v>
      </c>
      <c r="C443" s="2" t="str">
        <v>ИСПАНИЯ ИСПАНИЯ</v>
      </c>
      <c r="D443" s="2" t="str">
        <v>Льостенсе-Интер Ибица</v>
      </c>
      <c r="E443" s="2" t="str">
        <v>-</v>
      </c>
      <c r="F443" s="2" t="str">
        <v>-</v>
      </c>
      <c r="G443" s="2" t="str">
        <v>-</v>
      </c>
    </row>
    <row r="444" xml:space="preserve">
      <c r="A444" s="2" t="str">
        <v>01/05 ВС</v>
      </c>
      <c r="B444" s="2" t="str" xml:space="preserve">
        <v xml:space="preserve">18:00_x000d_
TKP</v>
      </c>
      <c r="C444" s="2" t="str">
        <v>ИСПАНИЯ ИСПАНИЯ</v>
      </c>
      <c r="D444" s="2" t="str">
        <v>Побленсе-Феланич</v>
      </c>
      <c r="E444" s="2" t="str">
        <v>-</v>
      </c>
      <c r="F444" s="2" t="str">
        <v>-</v>
      </c>
      <c r="G444" s="2" t="str">
        <v>-</v>
      </c>
    </row>
    <row r="445" xml:space="preserve">
      <c r="A445" s="2" t="str">
        <v>01/05 ВС</v>
      </c>
      <c r="B445" s="2" t="str" xml:space="preserve">
        <v xml:space="preserve">18:00_x000d_
TKP</v>
      </c>
      <c r="C445" s="2" t="str">
        <v>ИСПАНИЯ ИСПАНИЯ</v>
      </c>
      <c r="D445" s="2" t="str">
        <v>Ротлет Молинар-Сон-Вери</v>
      </c>
      <c r="E445" s="2" t="str">
        <v>-</v>
      </c>
      <c r="F445" s="2" t="str">
        <v>-</v>
      </c>
      <c r="G445" s="2" t="str">
        <v>-</v>
      </c>
    </row>
    <row r="446" xml:space="preserve">
      <c r="A446" s="2" t="str">
        <v>01/05 ВС</v>
      </c>
      <c r="B446" s="2" t="str" xml:space="preserve">
        <v xml:space="preserve">18:00_x000d_
TKP</v>
      </c>
      <c r="C446" s="2" t="str">
        <v>ИСПАНИЯ ИСПАНИЯ</v>
      </c>
      <c r="D446" s="2" t="str">
        <v>Сан-Хорди-Меркадаль</v>
      </c>
      <c r="E446" s="2" t="str">
        <v>-</v>
      </c>
      <c r="F446" s="2" t="str">
        <v>-</v>
      </c>
      <c r="G446" s="2" t="str">
        <v>-</v>
      </c>
    </row>
    <row r="447" xml:space="preserve">
      <c r="A447" s="2" t="str">
        <v>01/05 ВС</v>
      </c>
      <c r="B447" s="2" t="str" xml:space="preserve">
        <v xml:space="preserve">18:00_x000d_
TKP</v>
      </c>
      <c r="C447" s="2" t="str">
        <v>ИСПАНИЯ ИСПАНИЯ</v>
      </c>
      <c r="D447" s="2" t="str">
        <v>Сантаньи-Портмани</v>
      </c>
      <c r="E447" s="2" t="str">
        <v>-</v>
      </c>
      <c r="F447" s="2" t="str">
        <v>-</v>
      </c>
      <c r="G447" s="2" t="str">
        <v>-</v>
      </c>
    </row>
    <row r="448" xml:space="preserve">
      <c r="A448" s="2" t="str">
        <v>01/05 ВС</v>
      </c>
      <c r="B448" s="2" t="str" xml:space="preserve">
        <v xml:space="preserve">18:00_x000d_
TKP</v>
      </c>
      <c r="C448" s="2" t="str">
        <v>ИСПАНИЯ ИСПАНИЯ</v>
      </c>
      <c r="D448" s="2" t="str">
        <v>Сольер-Манакор</v>
      </c>
      <c r="E448" s="2" t="str">
        <v>-</v>
      </c>
      <c r="F448" s="2" t="str">
        <v>-</v>
      </c>
      <c r="G448" s="2" t="str">
        <v>-</v>
      </c>
    </row>
    <row r="449" xml:space="preserve">
      <c r="A449" s="2" t="str">
        <v>01/05 ВС</v>
      </c>
      <c r="B449" s="2" t="str" xml:space="preserve">
        <v xml:space="preserve">18:00_x000d_
TKP</v>
      </c>
      <c r="C449" s="2" t="str">
        <v>ИСПАНИЯ ИСПАНИЯ</v>
      </c>
      <c r="D449" s="2" t="str">
        <v>Sant Rafel-Муренсе</v>
      </c>
      <c r="E449" s="2" t="str">
        <v>-</v>
      </c>
      <c r="F449" s="2" t="str">
        <v>-</v>
      </c>
      <c r="G449" s="2" t="str">
        <v>-</v>
      </c>
    </row>
    <row r="450" xml:space="preserve">
      <c r="A450" s="2" t="str">
        <v>01/05 ВС</v>
      </c>
      <c r="B450" s="2" t="str" xml:space="preserve">
        <v xml:space="preserve">15:00_x000d_
TKP</v>
      </c>
      <c r="C450" s="2" t="str">
        <v>ИСПАНИЯ ИСПАНИЯ</v>
      </c>
      <c r="D450" s="2" t="str">
        <v>Арукас-Санта Урсула</v>
      </c>
      <c r="E450" s="2" t="str">
        <v>-</v>
      </c>
      <c r="F450" s="2" t="str">
        <v>-</v>
      </c>
      <c r="G450" s="2" t="str">
        <v>-</v>
      </c>
    </row>
    <row r="451" xml:space="preserve">
      <c r="A451" s="2" t="str">
        <v>01/05 ВС</v>
      </c>
      <c r="B451" s="2" t="str" xml:space="preserve">
        <v xml:space="preserve">15:00_x000d_
TKP</v>
      </c>
      <c r="C451" s="2" t="str">
        <v>ИСПАНИЯ ИСПАНИЯ</v>
      </c>
      <c r="D451" s="2" t="str">
        <v>Бусанада-Лас-Пальмас C</v>
      </c>
      <c r="E451" s="2" t="str">
        <v>-</v>
      </c>
      <c r="F451" s="2" t="str">
        <v>-</v>
      </c>
      <c r="G451" s="2" t="str">
        <v>-</v>
      </c>
    </row>
    <row r="452" xml:space="preserve">
      <c r="A452" s="2" t="str">
        <v>01/05 ВС</v>
      </c>
      <c r="B452" s="2" t="str" xml:space="preserve">
        <v xml:space="preserve">15:00_x000d_
TKP</v>
      </c>
      <c r="C452" s="2" t="str">
        <v>ИСПАНИЯ ИСПАНИЯ</v>
      </c>
      <c r="D452" s="2" t="str">
        <v>Вера-Гран Тарахаль</v>
      </c>
      <c r="E452" s="2" t="str">
        <v>-</v>
      </c>
      <c r="F452" s="2" t="str">
        <v>-</v>
      </c>
      <c r="G452" s="2" t="str">
        <v>-</v>
      </c>
    </row>
    <row r="453" xml:space="preserve">
      <c r="A453" s="2" t="str">
        <v>01/05 ВС</v>
      </c>
      <c r="B453" s="2" t="str" xml:space="preserve">
        <v xml:space="preserve">15:00_x000d_
TKP</v>
      </c>
      <c r="C453" s="2" t="str">
        <v>ИСПАНИЯ ИСПАНИЯ</v>
      </c>
      <c r="D453" s="2" t="str">
        <v>Лас Зокас-Вилла Санта Брихида</v>
      </c>
      <c r="E453" s="2" t="str">
        <v>-</v>
      </c>
      <c r="F453" s="2" t="str">
        <v>-</v>
      </c>
      <c r="G453" s="2" t="str">
        <v>-</v>
      </c>
    </row>
    <row r="454" xml:space="preserve">
      <c r="A454" s="2" t="str">
        <v>01/05 ВС</v>
      </c>
      <c r="B454" s="2" t="str" xml:space="preserve">
        <v xml:space="preserve">15:00_x000d_
TKP</v>
      </c>
      <c r="C454" s="2" t="str">
        <v>ИСПАНИЯ ИСПАНИЯ</v>
      </c>
      <c r="D454" s="2" t="str">
        <v>Тениска-Ла-Куадра</v>
      </c>
      <c r="E454" s="2" t="str">
        <v>-</v>
      </c>
      <c r="F454" s="2" t="str">
        <v>-</v>
      </c>
      <c r="G454" s="2" t="str">
        <v>-</v>
      </c>
    </row>
    <row r="455" xml:space="preserve">
      <c r="A455" s="2" t="str">
        <v>01/05 ВС</v>
      </c>
      <c r="B455" s="2" t="str" xml:space="preserve">
        <v xml:space="preserve">15:00_x000d_
TKP</v>
      </c>
      <c r="C455" s="2" t="str">
        <v>ИСПАНИЯ ИСПАНИЯ</v>
      </c>
      <c r="D455" s="2" t="str">
        <v>Унион Виера-С.Д. Марино</v>
      </c>
      <c r="E455" s="2" t="str">
        <v>-</v>
      </c>
      <c r="F455" s="2" t="str">
        <v>-</v>
      </c>
      <c r="G455" s="2" t="str">
        <v>-</v>
      </c>
    </row>
    <row r="456" xml:space="preserve">
      <c r="A456" s="2" t="str">
        <v>01/05 ВС</v>
      </c>
      <c r="B456" s="2" t="str" xml:space="preserve">
        <v xml:space="preserve">15:00_x000d_
TKP</v>
      </c>
      <c r="C456" s="2" t="str">
        <v>ИСПАНИЯ ИСПАНИЯ</v>
      </c>
      <c r="D456" s="2" t="str">
        <v>Эрбания-Атлетико Пасо</v>
      </c>
      <c r="E456" s="2" t="str">
        <v>-</v>
      </c>
      <c r="F456" s="2" t="str">
        <v>-</v>
      </c>
      <c r="G456" s="2" t="str">
        <v>-</v>
      </c>
    </row>
    <row r="457" xml:space="preserve">
      <c r="A457" s="2" t="str">
        <v>01/05 ВС</v>
      </c>
      <c r="B457" s="2" t="str" xml:space="preserve">
        <v xml:space="preserve">15:00_x000d_
TKP</v>
      </c>
      <c r="C457" s="2" t="str">
        <v>ИСПАНИЯ ИСПАНИЯ</v>
      </c>
      <c r="D457" s="2" t="str">
        <v>Яйса-Тенерифе (Б)</v>
      </c>
      <c r="E457" s="2" t="str">
        <v>-</v>
      </c>
      <c r="F457" s="2" t="str">
        <v>-</v>
      </c>
      <c r="G457" s="2" t="str">
        <v>-</v>
      </c>
    </row>
    <row r="458" xml:space="preserve">
      <c r="A458" s="2" t="str">
        <v>01/05 ВС</v>
      </c>
      <c r="B458" s="2" t="str" xml:space="preserve">
        <v xml:space="preserve">20:00_x000d_
TKP</v>
      </c>
      <c r="C458" s="2" t="str">
        <v>ИСПАНИЯ ИСПАНИЯ</v>
      </c>
      <c r="D458" s="2" t="str">
        <v>Бала Азул-Архена</v>
      </c>
      <c r="E458" s="2" t="str">
        <v>-</v>
      </c>
      <c r="F458" s="2" t="str">
        <v>-</v>
      </c>
      <c r="G458" s="2" t="str">
        <v>-</v>
      </c>
    </row>
    <row r="459" xml:space="preserve">
      <c r="A459" s="2" t="str">
        <v>01/05 ВС</v>
      </c>
      <c r="B459" s="2" t="str" xml:space="preserve">
        <v xml:space="preserve">20:00_x000d_
TKP</v>
      </c>
      <c r="C459" s="2" t="str">
        <v>ИСПАНИЯ ИСПАНИЯ</v>
      </c>
      <c r="D459" s="2" t="str">
        <v>Депортива Минейра-Еклано</v>
      </c>
      <c r="E459" s="2" t="str">
        <v>-</v>
      </c>
      <c r="F459" s="2" t="str">
        <v>-</v>
      </c>
      <c r="G459" s="2" t="str">
        <v>-</v>
      </c>
    </row>
    <row r="460" xml:space="preserve">
      <c r="A460" s="2" t="str">
        <v>01/05 ВС</v>
      </c>
      <c r="B460" s="2" t="str" xml:space="preserve">
        <v xml:space="preserve">20:00_x000d_
TKP</v>
      </c>
      <c r="C460" s="2" t="str">
        <v>ИСПАНИЯ ИСПАНИЯ</v>
      </c>
      <c r="D460" s="2" t="str">
        <v>Картахена-Бульенсе</v>
      </c>
      <c r="E460" s="2" t="str">
        <v>-</v>
      </c>
      <c r="F460" s="2" t="str">
        <v>-</v>
      </c>
      <c r="G460" s="2" t="str">
        <v>-</v>
      </c>
    </row>
    <row r="461" xml:space="preserve">
      <c r="A461" s="2" t="str">
        <v>01/05 ВС</v>
      </c>
      <c r="B461" s="2" t="str" xml:space="preserve">
        <v xml:space="preserve">20:00_x000d_
TKP</v>
      </c>
      <c r="C461" s="2" t="str">
        <v>ИСПАНИЯ ИСПАНИЯ</v>
      </c>
      <c r="D461" s="2" t="str">
        <v>Лос Гаррес-Лорка Депортива</v>
      </c>
      <c r="E461" s="2" t="str">
        <v>-</v>
      </c>
      <c r="F461" s="2" t="str">
        <v>-</v>
      </c>
      <c r="G461" s="2" t="str">
        <v>-</v>
      </c>
    </row>
    <row r="462" xml:space="preserve">
      <c r="A462" s="2" t="str">
        <v>01/05 ВС</v>
      </c>
      <c r="B462" s="2" t="str" xml:space="preserve">
        <v xml:space="preserve">20:00_x000d_
TKP</v>
      </c>
      <c r="C462" s="2" t="str">
        <v>ИСПАНИЯ ИСПАНИЯ</v>
      </c>
      <c r="D462" s="2" t="str">
        <v>Пальмар-Сьюдад Мурсия</v>
      </c>
      <c r="E462" s="2" t="str">
        <v>-</v>
      </c>
      <c r="F462" s="2" t="str">
        <v>-</v>
      </c>
      <c r="G462" s="2" t="str">
        <v>-</v>
      </c>
    </row>
    <row r="463" xml:space="preserve">
      <c r="A463" s="2" t="str">
        <v>01/05 ВС</v>
      </c>
      <c r="B463" s="2" t="str" xml:space="preserve">
        <v xml:space="preserve">20:00_x000d_
TKP</v>
      </c>
      <c r="C463" s="2" t="str">
        <v>ИСПАНИЯ ИСПАНИЯ</v>
      </c>
      <c r="D463" s="2" t="str">
        <v>Расинг Мурсия-Ла Унион</v>
      </c>
      <c r="E463" s="2" t="str">
        <v>-</v>
      </c>
      <c r="F463" s="2" t="str">
        <v>-</v>
      </c>
      <c r="G463" s="2" t="str">
        <v>-</v>
      </c>
    </row>
    <row r="464" xml:space="preserve">
      <c r="A464" s="2" t="str">
        <v>01/05 ВС</v>
      </c>
      <c r="B464" s="2" t="str" xml:space="preserve">
        <v xml:space="preserve">20:00_x000d_
TKP</v>
      </c>
      <c r="C464" s="2" t="str">
        <v>ИСПАНИЯ ИСПАНИЯ</v>
      </c>
      <c r="D464" s="2" t="str">
        <v>Реал Мурсия (Б)-Картахена (Б)</v>
      </c>
      <c r="E464" s="2" t="str">
        <v>-</v>
      </c>
      <c r="F464" s="2" t="str">
        <v>-</v>
      </c>
      <c r="G464" s="2" t="str">
        <v>-</v>
      </c>
    </row>
    <row r="465" xml:space="preserve">
      <c r="A465" s="2" t="str">
        <v>01/05 ВС</v>
      </c>
      <c r="B465" s="2" t="str" xml:space="preserve">
        <v xml:space="preserve">20:00_x000d_
TKP</v>
      </c>
      <c r="C465" s="2" t="str">
        <v>ИСПАНИЯ ИСПАНИЯ</v>
      </c>
      <c r="D465" s="2" t="str">
        <v>УКАМ Мурсия (Б)-Каравака</v>
      </c>
      <c r="E465" s="2" t="str">
        <v>-</v>
      </c>
      <c r="F465" s="2" t="str">
        <v>-</v>
      </c>
      <c r="G465" s="2" t="str">
        <v>-</v>
      </c>
    </row>
    <row r="466" xml:space="preserve">
      <c r="A466" s="2" t="str">
        <v>01/05 ВС</v>
      </c>
      <c r="B466" s="2" t="str" xml:space="preserve">
        <v xml:space="preserve">20:00_x000d_
TKP</v>
      </c>
      <c r="C466" s="2" t="str">
        <v>ИСПАНИЯ ИСПАНИЯ</v>
      </c>
      <c r="D466" s="2" t="str">
        <v>Уэркаль-Овера-Масаррон</v>
      </c>
      <c r="E466" s="2" t="str">
        <v>-</v>
      </c>
      <c r="F466" s="2" t="str">
        <v>-</v>
      </c>
      <c r="G466" s="2" t="str">
        <v>-</v>
      </c>
    </row>
    <row r="467">
      <c r="A467" s="2" t="str">
        <v>01/05 ВС</v>
      </c>
      <c r="B467" s="2" t="str">
        <v>21:00</v>
      </c>
      <c r="C467" s="2" t="str">
        <v>ИСПАНИЯ ИСПАНИЯ</v>
      </c>
      <c r="D467" s="2" t="str">
        <v>Йерененсе-Херес</v>
      </c>
      <c r="E467" s="2" t="str">
        <v>-</v>
      </c>
      <c r="F467" s="2" t="str">
        <v>-</v>
      </c>
      <c r="G467" s="2" t="str">
        <v>-</v>
      </c>
    </row>
    <row r="468" xml:space="preserve">
      <c r="A468" s="2" t="str">
        <v>01/05 ВС</v>
      </c>
      <c r="B468" s="2" t="str" xml:space="preserve">
        <v xml:space="preserve">19:30_x000d_
TKP</v>
      </c>
      <c r="C468" s="2" t="str">
        <v>ИСПАНИЯ ИСПАНИЯ</v>
      </c>
      <c r="D468" s="2" t="str">
        <v>Агонсильо-Ойонеса</v>
      </c>
      <c r="E468" s="2" t="str">
        <v>-</v>
      </c>
      <c r="F468" s="2" t="str">
        <v>-</v>
      </c>
      <c r="G468" s="2" t="str">
        <v>-</v>
      </c>
    </row>
    <row r="469" xml:space="preserve">
      <c r="A469" s="2" t="str">
        <v>01/05 ВС</v>
      </c>
      <c r="B469" s="2" t="str" xml:space="preserve">
        <v xml:space="preserve">19:30_x000d_
TKP</v>
      </c>
      <c r="C469" s="2" t="str">
        <v>ИСПАНИЯ ИСПАНИЯ</v>
      </c>
      <c r="D469" s="2" t="str">
        <v>Альфаро-Харо Депортиво</v>
      </c>
      <c r="E469" s="2" t="str">
        <v>-</v>
      </c>
      <c r="F469" s="2" t="str">
        <v>-</v>
      </c>
      <c r="G469" s="2" t="str">
        <v>-</v>
      </c>
    </row>
    <row r="470" xml:space="preserve">
      <c r="A470" s="2" t="str">
        <v>01/05 ВС</v>
      </c>
      <c r="B470" s="2" t="str" xml:space="preserve">
        <v xml:space="preserve">19:30_x000d_
TKP</v>
      </c>
      <c r="C470" s="2" t="str">
        <v>ИСПАНИЯ ИСПАНИЯ</v>
      </c>
      <c r="D470" s="2" t="str">
        <v>Ангиано-Ла-Кальсада</v>
      </c>
      <c r="E470" s="2" t="str">
        <v>-</v>
      </c>
      <c r="F470" s="2" t="str">
        <v>-</v>
      </c>
      <c r="G470" s="2" t="str">
        <v>-</v>
      </c>
    </row>
    <row r="471" xml:space="preserve">
      <c r="A471" s="2" t="str">
        <v>01/05 ВС</v>
      </c>
      <c r="B471" s="2" t="str" xml:space="preserve">
        <v xml:space="preserve">19:30_x000d_
TKP</v>
      </c>
      <c r="C471" s="2" t="str">
        <v>ИСПАНИЯ ИСПАНИЯ</v>
      </c>
      <c r="D471" s="2" t="str">
        <v>Арнедо-Берсео</v>
      </c>
      <c r="E471" s="2" t="str">
        <v>-</v>
      </c>
      <c r="F471" s="2" t="str">
        <v>-</v>
      </c>
      <c r="G471" s="2" t="str">
        <v>-</v>
      </c>
    </row>
    <row r="472" xml:space="preserve">
      <c r="A472" s="2" t="str">
        <v>01/05 ВС</v>
      </c>
      <c r="B472" s="2" t="str" xml:space="preserve">
        <v xml:space="preserve">19:30_x000d_
TKP</v>
      </c>
      <c r="C472" s="2" t="str">
        <v>ИСПАНИЯ ИСПАНИЯ</v>
      </c>
      <c r="D472" s="2" t="str">
        <v>Вианес-СФ Рапид</v>
      </c>
      <c r="E472" s="2" t="str">
        <v>-</v>
      </c>
      <c r="F472" s="2" t="str">
        <v>-</v>
      </c>
      <c r="G472" s="2" t="str">
        <v>-</v>
      </c>
    </row>
    <row r="473" xml:space="preserve">
      <c r="A473" s="2" t="str">
        <v>01/05 ВС</v>
      </c>
      <c r="B473" s="2" t="str" xml:space="preserve">
        <v xml:space="preserve">19:30_x000d_
TKP</v>
      </c>
      <c r="C473" s="2" t="str">
        <v>ИСПАНИЯ ИСПАНИЯ</v>
      </c>
      <c r="D473" s="2" t="str">
        <v>Касаларрейна-Калаорра (Б)</v>
      </c>
      <c r="E473" s="2" t="str">
        <v>-</v>
      </c>
      <c r="F473" s="2" t="str">
        <v>-</v>
      </c>
      <c r="G473" s="2" t="str">
        <v>-</v>
      </c>
    </row>
    <row r="474" xml:space="preserve">
      <c r="A474" s="2" t="str">
        <v>01/05 ВС</v>
      </c>
      <c r="B474" s="2" t="str" xml:space="preserve">
        <v xml:space="preserve">19:30_x000d_
TKP</v>
      </c>
      <c r="C474" s="2" t="str">
        <v>ИСПАНИЯ ИСПАНИЯ</v>
      </c>
      <c r="D474" s="2" t="str">
        <v>Сенисеро-Вареа</v>
      </c>
      <c r="E474" s="2" t="str">
        <v>-</v>
      </c>
      <c r="F474" s="2" t="str">
        <v>-</v>
      </c>
      <c r="G474" s="2" t="str">
        <v>-</v>
      </c>
    </row>
    <row r="475" xml:space="preserve">
      <c r="A475" s="2" t="str">
        <v>01/05 ВС</v>
      </c>
      <c r="B475" s="2" t="str" xml:space="preserve">
        <v xml:space="preserve">19:30_x000d_
TKP</v>
      </c>
      <c r="C475" s="2" t="str">
        <v>ИСПАНИЯ ИСПАНИЯ</v>
      </c>
      <c r="D475" s="2" t="str">
        <v>Ягюе-Ривер Эбро</v>
      </c>
      <c r="E475" s="2" t="str">
        <v>-</v>
      </c>
      <c r="F475" s="2" t="str">
        <v>-</v>
      </c>
      <c r="G475" s="2" t="str">
        <v>-</v>
      </c>
    </row>
    <row r="476" xml:space="preserve">
      <c r="A476" s="2" t="str">
        <v>01/05 ВС</v>
      </c>
      <c r="B476" s="2" t="str" xml:space="preserve">
        <v xml:space="preserve">19:00_x000d_
TKP</v>
      </c>
      <c r="C476" s="2" t="str">
        <v>ИСПАНИЯ ИСПАНИЯ</v>
      </c>
      <c r="D476" s="2" t="str">
        <v>Атлетико Монсон-Каспе</v>
      </c>
      <c r="E476" s="2" t="str">
        <v>-</v>
      </c>
      <c r="F476" s="2" t="str">
        <v>-</v>
      </c>
      <c r="G476" s="2" t="str">
        <v>-</v>
      </c>
    </row>
    <row r="477" xml:space="preserve">
      <c r="A477" s="2" t="str">
        <v>01/05 ВС</v>
      </c>
      <c r="B477" s="2" t="str" xml:space="preserve">
        <v xml:space="preserve">19:00_x000d_
TKP</v>
      </c>
      <c r="C477" s="2" t="str">
        <v>ИСПАНИЯ ИСПАНИЯ</v>
      </c>
      <c r="D477" s="2" t="str">
        <v>Барбастро-Бинефар</v>
      </c>
      <c r="E477" s="2" t="str">
        <v>-</v>
      </c>
      <c r="F477" s="2" t="str">
        <v>-</v>
      </c>
      <c r="G477" s="2" t="str">
        <v>-</v>
      </c>
    </row>
    <row r="478" xml:space="preserve">
      <c r="A478" s="2" t="str">
        <v>01/05 ВС</v>
      </c>
      <c r="B478" s="2" t="str" xml:space="preserve">
        <v xml:space="preserve">19:00_x000d_
TKP</v>
      </c>
      <c r="C478" s="2" t="str">
        <v>ИСПАНИЯ ИСПАНИЯ</v>
      </c>
      <c r="D478" s="2" t="str">
        <v>Борха-Эпила</v>
      </c>
      <c r="E478" s="2" t="str">
        <v>-</v>
      </c>
      <c r="F478" s="2" t="str">
        <v>-</v>
      </c>
      <c r="G478" s="2" t="str">
        <v>-</v>
      </c>
    </row>
    <row r="479" xml:space="preserve">
      <c r="A479" s="2" t="str">
        <v>01/05 ВС</v>
      </c>
      <c r="B479" s="2" t="str" xml:space="preserve">
        <v xml:space="preserve">19:00_x000d_
TKP</v>
      </c>
      <c r="C479" s="2" t="str">
        <v>ИСПАНИЯ ИСПАНИЯ</v>
      </c>
      <c r="D479" s="2" t="str">
        <v>Ильека-Санта-Анастасия</v>
      </c>
      <c r="E479" s="2" t="str">
        <v>-</v>
      </c>
      <c r="F479" s="2" t="str">
        <v>-</v>
      </c>
      <c r="G479" s="2" t="str">
        <v>-</v>
      </c>
    </row>
    <row r="480" xml:space="preserve">
      <c r="A480" s="2" t="str">
        <v>01/05 ВС</v>
      </c>
      <c r="B480" s="2" t="str" xml:space="preserve">
        <v xml:space="preserve">19:00_x000d_
TKP</v>
      </c>
      <c r="C480" s="2" t="str">
        <v>ИСПАНИЯ ИСПАНИЯ</v>
      </c>
      <c r="D480" s="2" t="str">
        <v>Каламоча-Робрес</v>
      </c>
      <c r="E480" s="2" t="str">
        <v>-</v>
      </c>
      <c r="F480" s="2" t="str">
        <v>-</v>
      </c>
      <c r="G480" s="2" t="str">
        <v>-</v>
      </c>
    </row>
    <row r="481" xml:space="preserve">
      <c r="A481" s="2" t="str">
        <v>01/05 ВС</v>
      </c>
      <c r="B481" s="2" t="str" xml:space="preserve">
        <v xml:space="preserve">19:00_x000d_
TKP</v>
      </c>
      <c r="C481" s="2" t="str">
        <v>ИСПАНИЯ ИСПАНИЯ</v>
      </c>
      <c r="D481" s="2" t="str">
        <v>Кариньена-Куарте</v>
      </c>
      <c r="E481" s="2" t="str">
        <v>-</v>
      </c>
      <c r="F481" s="2" t="str">
        <v>-</v>
      </c>
      <c r="G481" s="2" t="str">
        <v>-</v>
      </c>
    </row>
    <row r="482" xml:space="preserve">
      <c r="A482" s="2" t="str">
        <v>01/05 ВС</v>
      </c>
      <c r="B482" s="2" t="str" xml:space="preserve">
        <v xml:space="preserve">19:00_x000d_
TKP</v>
      </c>
      <c r="C482" s="2" t="str">
        <v>ИСПАНИЯ ИСПАНИЯ</v>
      </c>
      <c r="D482" s="2" t="str">
        <v>Сарагоса (Б)-Хинер Торреро</v>
      </c>
      <c r="E482" s="2" t="str">
        <v>-</v>
      </c>
      <c r="F482" s="2" t="str">
        <v>-</v>
      </c>
      <c r="G482" s="2" t="str">
        <v>-</v>
      </c>
    </row>
    <row r="483" xml:space="preserve">
      <c r="A483" s="2" t="str">
        <v>01/05 ВС</v>
      </c>
      <c r="B483" s="2" t="str" xml:space="preserve">
        <v xml:space="preserve">19:00_x000d_
TKP</v>
      </c>
      <c r="C483" s="2" t="str">
        <v>ИСПАНИЯ ИСПАНИЯ</v>
      </c>
      <c r="D483" s="2" t="str">
        <v>Утебо-Бьескас</v>
      </c>
      <c r="E483" s="2" t="str">
        <v>-</v>
      </c>
      <c r="F483" s="2" t="str">
        <v>-</v>
      </c>
      <c r="G483" s="2" t="str">
        <v>-</v>
      </c>
    </row>
    <row r="484" xml:space="preserve">
      <c r="A484" s="2" t="str">
        <v>01/05 ВС</v>
      </c>
      <c r="B484" s="2" t="str" xml:space="preserve">
        <v xml:space="preserve">14:00_x000d_
TKP</v>
      </c>
      <c r="C484" s="2" t="str">
        <v>ИСПАНИЯ ИСПАНИЯ</v>
      </c>
      <c r="D484" s="2" t="str">
        <v>Асукека-Уракан де Баласоте</v>
      </c>
      <c r="E484" s="2" t="str">
        <v>-</v>
      </c>
      <c r="F484" s="2" t="str">
        <v>-</v>
      </c>
      <c r="G484" s="2" t="str">
        <v>-</v>
      </c>
    </row>
    <row r="485" xml:space="preserve">
      <c r="A485" s="2" t="str">
        <v>01/05 ВС</v>
      </c>
      <c r="B485" s="2" t="str" xml:space="preserve">
        <v xml:space="preserve">14:00_x000d_
TKP</v>
      </c>
      <c r="C485" s="2" t="str">
        <v>ИСПАНИЯ ИСПАНИЯ</v>
      </c>
      <c r="D485" s="2" t="str">
        <v>Мигельтурьеньо-Таранкон</v>
      </c>
      <c r="E485" s="2" t="str">
        <v>-</v>
      </c>
      <c r="F485" s="2" t="str">
        <v>-</v>
      </c>
      <c r="G485" s="2" t="str">
        <v>-</v>
      </c>
    </row>
    <row r="486" xml:space="preserve">
      <c r="A486" s="2" t="str">
        <v>01/05 ВС</v>
      </c>
      <c r="B486" s="2" t="str" xml:space="preserve">
        <v xml:space="preserve">20:00_x000d_
TKP</v>
      </c>
      <c r="C486" s="2" t="str">
        <v>ИСПАНИЯ ИСПАНИЯ</v>
      </c>
      <c r="D486" s="2" t="str">
        <v>Вилларубия-Альбасете (Б)</v>
      </c>
      <c r="E486" s="2" t="str">
        <v>-</v>
      </c>
      <c r="F486" s="2" t="str">
        <v>-</v>
      </c>
      <c r="G486" s="2" t="str">
        <v>-</v>
      </c>
    </row>
    <row r="487" xml:space="preserve">
      <c r="A487" s="2" t="str">
        <v>01/05 ВС</v>
      </c>
      <c r="B487" s="2" t="str" xml:space="preserve">
        <v xml:space="preserve">20:00_x000d_
TKP</v>
      </c>
      <c r="C487" s="2" t="str">
        <v>ИСПАНИЯ ИСПАНИЯ</v>
      </c>
      <c r="D487" s="2" t="str">
        <v>Конкенсе-Альманса</v>
      </c>
      <c r="E487" s="2" t="str">
        <v>-</v>
      </c>
      <c r="F487" s="2" t="str">
        <v>-</v>
      </c>
      <c r="G487" s="2" t="str">
        <v>-</v>
      </c>
    </row>
    <row r="488">
      <c r="A488" s="2" t="str">
        <v>01/05 ВС</v>
      </c>
      <c r="B488" s="2" t="str">
        <v>Тех. поражение</v>
      </c>
      <c r="C488" s="2" t="str">
        <v>ИСПАНИЯ ИСПАНИЯ</v>
      </c>
      <c r="D488" s="2" t="str">
        <v>Сьюдад Реал-Ла Рода</v>
      </c>
      <c r="E488" s="2" t="str">
        <v>0</v>
      </c>
      <c r="F488" s="2" t="str">
        <v>-</v>
      </c>
      <c r="G488" s="2" t="str">
        <v>-</v>
      </c>
    </row>
    <row r="489">
      <c r="A489" s="2" t="str">
        <v>01/05 ВС</v>
      </c>
      <c r="B489" s="2" t="str">
        <v>13:00</v>
      </c>
      <c r="C489" s="2" t="str">
        <v>ИСПАНИЯ ИСПАНИЯ</v>
      </c>
      <c r="D489" s="2" t="str">
        <v>Леванте (Ж)-Атлетико Мадрид (Ж)</v>
      </c>
      <c r="E489" s="2" t="str">
        <v>-</v>
      </c>
      <c r="F489" s="2" t="str">
        <v>-</v>
      </c>
      <c r="G489" s="2" t="str">
        <v>-</v>
      </c>
    </row>
    <row r="490">
      <c r="A490" s="2" t="str">
        <v>01/05 ВС</v>
      </c>
      <c r="B490" s="2" t="str">
        <v>13:00</v>
      </c>
      <c r="C490" s="2" t="str">
        <v>ИСПАНИЯ ИСПАНИЯ</v>
      </c>
      <c r="D490" s="2" t="str">
        <v>Реал Мадрид (Ж)-Мадрид (Ж)</v>
      </c>
      <c r="E490" s="2" t="str">
        <v>-</v>
      </c>
      <c r="F490" s="2" t="str">
        <v>-</v>
      </c>
      <c r="G490" s="2" t="str">
        <v>-</v>
      </c>
    </row>
    <row r="491">
      <c r="A491" s="2" t="str">
        <v>01/05 ВС</v>
      </c>
      <c r="B491" s="2" t="str">
        <v>13:30</v>
      </c>
      <c r="C491" s="2" t="str">
        <v>ИСПАНИЯ ИСПАНИЯ</v>
      </c>
      <c r="D491" s="2" t="str">
        <v>Эйбар (Ж)-Вильярреал (Ж)</v>
      </c>
      <c r="E491" s="2" t="str">
        <v>-</v>
      </c>
      <c r="F491" s="2" t="str">
        <v>-</v>
      </c>
      <c r="G491" s="2" t="str">
        <v>-</v>
      </c>
    </row>
    <row r="492">
      <c r="A492" s="2" t="str">
        <v>01/05 ВС</v>
      </c>
      <c r="B492" s="2" t="str">
        <v>14:00</v>
      </c>
      <c r="C492" s="2" t="str">
        <v>ИСПАНИЯ ИСПАНИЯ</v>
      </c>
      <c r="D492" s="2" t="str">
        <v>Реал Сосьедад (Ж)-Райо Вальекано (Ж)</v>
      </c>
      <c r="E492" s="2" t="str">
        <v>-</v>
      </c>
      <c r="F492" s="2" t="str">
        <v>-</v>
      </c>
      <c r="G492" s="2" t="str">
        <v>-</v>
      </c>
    </row>
    <row r="493">
      <c r="A493" s="2" t="str">
        <v>01/05 ВС</v>
      </c>
      <c r="B493" s="2" t="str">
        <v>14:00</v>
      </c>
      <c r="C493" s="2" t="str">
        <v>ИСПАНИЯ ИСПАНИЯ</v>
      </c>
      <c r="D493" s="2" t="str">
        <v>Уэльва (Ж)-Алавес (Ж)</v>
      </c>
      <c r="E493" s="2" t="str">
        <v>-</v>
      </c>
      <c r="F493" s="2" t="str">
        <v>-</v>
      </c>
      <c r="G493" s="2" t="str">
        <v>-</v>
      </c>
    </row>
    <row r="494" xml:space="preserve">
      <c r="A494" s="2" t="str">
        <v>01/05 ВС</v>
      </c>
      <c r="B494" s="2" t="str" xml:space="preserve">
        <v xml:space="preserve">13:00_x000d_
TKP</v>
      </c>
      <c r="C494" s="2" t="str">
        <v>ИСПАНИЯ ИСПАНИЯ</v>
      </c>
      <c r="D494" s="2" t="str">
        <v>Осасуна (Ж)-Real Oviedo (Ж)</v>
      </c>
      <c r="E494" s="2" t="str">
        <v>-</v>
      </c>
      <c r="F494" s="2" t="str">
        <v>-</v>
      </c>
      <c r="G494" s="2" t="str">
        <v>-</v>
      </c>
    </row>
    <row r="495" xml:space="preserve">
      <c r="A495" s="2" t="str">
        <v>01/05 ВС</v>
      </c>
      <c r="B495" s="2" t="str" xml:space="preserve">
        <v xml:space="preserve">14:00_x000d_
TKP</v>
      </c>
      <c r="C495" s="2" t="str">
        <v>ИСПАНИЯ ИСПАНИЯ</v>
      </c>
      <c r="D495" s="2" t="str">
        <v>Ла Солана (Ж)-Фемаргин (Ж)</v>
      </c>
      <c r="E495" s="2" t="str">
        <v>-</v>
      </c>
      <c r="F495" s="2" t="str">
        <v>-</v>
      </c>
      <c r="G495" s="2" t="str">
        <v>-</v>
      </c>
    </row>
    <row r="496" xml:space="preserve">
      <c r="A496" s="2" t="str">
        <v>01/05 ВС</v>
      </c>
      <c r="B496" s="2" t="str" xml:space="preserve">
        <v xml:space="preserve">14:00_x000d_
TKP</v>
      </c>
      <c r="C496" s="2" t="str">
        <v>ИСПАНИЯ ИСПАНИЯ</v>
      </c>
      <c r="D496" s="2" t="str">
        <v>Логроньо (Ж)-Атлетико (Б) (Ж)</v>
      </c>
      <c r="E496" s="2" t="str">
        <v>-</v>
      </c>
      <c r="F496" s="2" t="str">
        <v>-</v>
      </c>
      <c r="G496" s="2" t="str">
        <v>-</v>
      </c>
    </row>
    <row r="497" xml:space="preserve">
      <c r="A497" s="2" t="str">
        <v>01/05 ВС</v>
      </c>
      <c r="B497" s="2" t="str" xml:space="preserve">
        <v xml:space="preserve">14:00_x000d_
TKP</v>
      </c>
      <c r="C497" s="2" t="str">
        <v>ИСПАНИЯ ИСПАНИЯ</v>
      </c>
      <c r="D497" s="2" t="str">
        <v>Р. Юнион (Ж)-Альхама (Ж)</v>
      </c>
      <c r="E497" s="2" t="str">
        <v>-</v>
      </c>
      <c r="F497" s="2" t="str">
        <v>-</v>
      </c>
      <c r="G497" s="2" t="str">
        <v>-</v>
      </c>
    </row>
    <row r="498" xml:space="preserve">
      <c r="A498" s="2" t="str">
        <v>01/05 ВС</v>
      </c>
      <c r="B498" s="2" t="str" xml:space="preserve">
        <v xml:space="preserve">14:00_x000d_
TKP</v>
      </c>
      <c r="C498" s="2" t="str">
        <v>ИСПАНИЯ ИСПАНИЯ</v>
      </c>
      <c r="D498" s="2" t="str">
        <v>Расинг (Ж)-Прадехон (Ж)</v>
      </c>
      <c r="E498" s="2" t="str">
        <v>-</v>
      </c>
      <c r="F498" s="2" t="str">
        <v>-</v>
      </c>
      <c r="G498" s="2" t="str">
        <v>-</v>
      </c>
    </row>
    <row r="499" xml:space="preserve">
      <c r="A499" s="2" t="str">
        <v>01/05 ВС</v>
      </c>
      <c r="B499" s="2" t="str" xml:space="preserve">
        <v xml:space="preserve">14:00_x000d_
TKP</v>
      </c>
      <c r="C499" s="2" t="str">
        <v>ИСПАНИЯ ИСПАНИЯ</v>
      </c>
      <c r="D499" s="2" t="str">
        <v>Сарагоса (Ж)-Атлетик Бильбао (Б) (Ж)</v>
      </c>
      <c r="E499" s="2" t="str">
        <v>-</v>
      </c>
      <c r="F499" s="2" t="str">
        <v>-</v>
      </c>
      <c r="G499" s="2" t="str">
        <v>-</v>
      </c>
    </row>
    <row r="500" xml:space="preserve">
      <c r="A500" s="2" t="str">
        <v>01/05 ВС</v>
      </c>
      <c r="B500" s="2" t="str" xml:space="preserve">
        <v xml:space="preserve">14:00_x000d_
TKP</v>
      </c>
      <c r="C500" s="2" t="str">
        <v>ИСПАНИЯ ИСПАНИЯ</v>
      </c>
      <c r="D500" s="2" t="str">
        <v>Сигулл (Ж)-Спортинг (Ж)</v>
      </c>
      <c r="E500" s="2" t="str">
        <v>-</v>
      </c>
      <c r="F500" s="2" t="str">
        <v>-</v>
      </c>
      <c r="G500" s="2" t="str">
        <v>-</v>
      </c>
    </row>
    <row r="501" xml:space="preserve">
      <c r="A501" s="2" t="str">
        <v>01/05 ВС</v>
      </c>
      <c r="B501" s="2" t="str" xml:space="preserve">
        <v xml:space="preserve">14:00_x000d_
TKP</v>
      </c>
      <c r="C501" s="2" t="str">
        <v>ИСПАНИЯ ИСПАНИЯ</v>
      </c>
      <c r="D501" s="2" t="str">
        <v>Хуан Гранде (Ж)-Бетис (Б) (Ж)</v>
      </c>
      <c r="E501" s="2" t="str">
        <v>-</v>
      </c>
      <c r="F501" s="2" t="str">
        <v>-</v>
      </c>
      <c r="G501" s="2" t="str">
        <v>-</v>
      </c>
    </row>
    <row r="502">
      <c r="A502" s="2" t="str">
        <v>01/05 ВС</v>
      </c>
      <c r="B502" s="2" t="str">
        <v>16:30</v>
      </c>
      <c r="C502" s="2" t="str">
        <v>ИТАЛИЯ ИТАЛИЯ</v>
      </c>
      <c r="D502" s="2" t="str">
        <v>Лекко-Патрия</v>
      </c>
      <c r="E502" s="2" t="str">
        <v>-</v>
      </c>
      <c r="F502" s="2" t="str">
        <v>-</v>
      </c>
      <c r="G502" s="2" t="str">
        <v>-</v>
      </c>
    </row>
    <row r="503">
      <c r="A503" s="2" t="str">
        <v>01/05 ВС</v>
      </c>
      <c r="B503" s="2" t="str">
        <v>18:00</v>
      </c>
      <c r="C503" s="2" t="str">
        <v>ИТАЛИЯ ИТАЛИЯ</v>
      </c>
      <c r="D503" s="2" t="str">
        <v>Пескара-Каррарезе</v>
      </c>
      <c r="E503" s="2" t="str">
        <v>-</v>
      </c>
      <c r="F503" s="2" t="str">
        <v>-</v>
      </c>
      <c r="G503" s="2" t="str">
        <v>-</v>
      </c>
    </row>
    <row r="504">
      <c r="A504" s="2" t="str">
        <v>01/05 ВС</v>
      </c>
      <c r="B504" s="2" t="str">
        <v>18:30</v>
      </c>
      <c r="C504" s="2" t="str">
        <v>ИТАЛИЯ ИТАЛИЯ</v>
      </c>
      <c r="D504" s="2" t="str">
        <v>Верчелли-Пергокрема</v>
      </c>
      <c r="E504" s="2" t="str">
        <v>-</v>
      </c>
      <c r="F504" s="2" t="str">
        <v>-</v>
      </c>
      <c r="G504" s="2" t="str">
        <v>-</v>
      </c>
    </row>
    <row r="505">
      <c r="A505" s="2" t="str">
        <v>01/05 ВС</v>
      </c>
      <c r="B505" s="2" t="str">
        <v>19:00</v>
      </c>
      <c r="C505" s="2" t="str">
        <v>ИТАЛИЯ ИТАЛИЯ</v>
      </c>
      <c r="D505" s="2" t="str">
        <v>Виртус Франкавилла-Монтероси</v>
      </c>
      <c r="E505" s="2" t="str">
        <v>-</v>
      </c>
      <c r="F505" s="2" t="str">
        <v>-</v>
      </c>
      <c r="G505" s="2" t="str">
        <v>-</v>
      </c>
    </row>
    <row r="506">
      <c r="A506" s="2" t="str">
        <v>01/05 ВС</v>
      </c>
      <c r="B506" s="2" t="str">
        <v>19:30</v>
      </c>
      <c r="C506" s="2" t="str">
        <v>ИТАЛИЯ ИТАЛИЯ</v>
      </c>
      <c r="D506" s="2" t="str">
        <v>Губбио-Лючезе</v>
      </c>
      <c r="E506" s="2" t="str">
        <v>-</v>
      </c>
      <c r="F506" s="2" t="str">
        <v>-</v>
      </c>
      <c r="G506" s="2" t="str">
        <v>-</v>
      </c>
    </row>
    <row r="507">
      <c r="A507" s="2" t="str">
        <v>01/05 ВС</v>
      </c>
      <c r="B507" s="2" t="str">
        <v>19:30</v>
      </c>
      <c r="C507" s="2" t="str">
        <v>ИТАЛИЯ ИТАЛИЯ</v>
      </c>
      <c r="D507" s="2" t="str">
        <v>Монополи-Пичерно</v>
      </c>
      <c r="E507" s="2" t="str">
        <v>-</v>
      </c>
      <c r="F507" s="2" t="str">
        <v>-</v>
      </c>
      <c r="G507" s="2" t="str">
        <v>-</v>
      </c>
    </row>
    <row r="508">
      <c r="A508" s="2" t="str">
        <v>01/05 ВС</v>
      </c>
      <c r="B508" s="2" t="str">
        <v>19:30</v>
      </c>
      <c r="C508" s="2" t="str">
        <v>ИТАЛИЯ ИТАЛИЯ</v>
      </c>
      <c r="D508" s="2" t="str">
        <v>Фоджа-Туррис</v>
      </c>
      <c r="E508" s="2" t="str">
        <v>-</v>
      </c>
      <c r="F508" s="2" t="str">
        <v>-</v>
      </c>
      <c r="G508" s="2" t="str">
        <v>-</v>
      </c>
    </row>
    <row r="509">
      <c r="A509" s="2" t="str">
        <v>01/05 ВС</v>
      </c>
      <c r="B509" s="2" t="str">
        <v>19:30</v>
      </c>
      <c r="C509" s="2" t="str">
        <v>ИТАЛИЯ ИТАЛИЯ</v>
      </c>
      <c r="D509" s="2" t="str">
        <v>Ювентус U23-Пьяченца</v>
      </c>
      <c r="E509" s="2" t="str">
        <v>-</v>
      </c>
      <c r="F509" s="2" t="str">
        <v>-</v>
      </c>
      <c r="G509" s="2" t="str">
        <v>-</v>
      </c>
    </row>
    <row r="510">
      <c r="A510" s="2" t="str">
        <v>01/05 ВС</v>
      </c>
      <c r="B510" s="2" t="str">
        <v>20:00</v>
      </c>
      <c r="C510" s="2" t="str">
        <v>ИТАЛИЯ ИТАЛИЯ</v>
      </c>
      <c r="D510" s="2" t="str">
        <v>Ancona-Matelica-Ольбия</v>
      </c>
      <c r="E510" s="2" t="str">
        <v>-</v>
      </c>
      <c r="F510" s="2" t="str">
        <v>-</v>
      </c>
      <c r="G510" s="2" t="str">
        <v>-</v>
      </c>
    </row>
    <row r="511">
      <c r="A511" s="2" t="str">
        <v>01/05 ВС</v>
      </c>
      <c r="B511" s="2" t="str">
        <v>17:00</v>
      </c>
      <c r="C511" s="2" t="str">
        <v>ИТАЛИЯ ИТАЛИЯ</v>
      </c>
      <c r="D511" s="2" t="str">
        <v>Вадо-Бра</v>
      </c>
      <c r="E511" s="2" t="str">
        <v>-</v>
      </c>
      <c r="F511" s="2" t="str">
        <v>-</v>
      </c>
      <c r="G511" s="2" t="str">
        <v>-</v>
      </c>
    </row>
    <row r="512">
      <c r="A512" s="2" t="str">
        <v>01/05 ВС</v>
      </c>
      <c r="B512" s="2" t="str">
        <v>17:00</v>
      </c>
      <c r="C512" s="2" t="str">
        <v>ИТАЛИЯ ИТАЛИЯ</v>
      </c>
      <c r="D512" s="2" t="str">
        <v>Гоццано-Новара</v>
      </c>
      <c r="E512" s="2" t="str">
        <v>-</v>
      </c>
      <c r="F512" s="2" t="str">
        <v>-</v>
      </c>
      <c r="G512" s="2" t="str">
        <v>-</v>
      </c>
    </row>
    <row r="513">
      <c r="A513" s="2" t="str">
        <v>01/05 ВС</v>
      </c>
      <c r="B513" s="2" t="str">
        <v>17:00</v>
      </c>
      <c r="C513" s="2" t="str">
        <v>ИТАЛИЯ ИТАЛИЯ</v>
      </c>
      <c r="D513" s="2" t="str">
        <v>Кароннезе-Лигорна</v>
      </c>
      <c r="E513" s="2" t="str">
        <v>-</v>
      </c>
      <c r="F513" s="2" t="str">
        <v>-</v>
      </c>
      <c r="G513" s="2" t="str">
        <v>-</v>
      </c>
    </row>
    <row r="514">
      <c r="A514" s="2" t="str">
        <v>01/05 ВС</v>
      </c>
      <c r="B514" s="2" t="str">
        <v>17:00</v>
      </c>
      <c r="C514" s="2" t="str">
        <v>ИТАЛИЯ ИТАЛИЯ</v>
      </c>
      <c r="D514" s="2" t="str">
        <v>Касале-Читта де Варезе</v>
      </c>
      <c r="E514" s="2" t="str">
        <v>-</v>
      </c>
      <c r="F514" s="2" t="str">
        <v>-</v>
      </c>
      <c r="G514" s="2" t="str">
        <v>-</v>
      </c>
    </row>
    <row r="515">
      <c r="A515" s="2" t="str">
        <v>01/05 ВС</v>
      </c>
      <c r="B515" s="2" t="str">
        <v>17:00</v>
      </c>
      <c r="C515" s="2" t="str">
        <v>ИТАЛИЯ ИТАЛИЯ</v>
      </c>
      <c r="D515" s="2" t="str">
        <v>Лаваньезе-Кьери</v>
      </c>
      <c r="E515" s="2" t="str">
        <v>-</v>
      </c>
      <c r="F515" s="2" t="str">
        <v>-</v>
      </c>
      <c r="G515" s="2" t="str">
        <v>-</v>
      </c>
    </row>
    <row r="516">
      <c r="A516" s="2" t="str">
        <v>01/05 ВС</v>
      </c>
      <c r="B516" s="2" t="str">
        <v>17:00</v>
      </c>
      <c r="C516" s="2" t="str">
        <v>ИТАЛИЯ ИТАЛИЯ</v>
      </c>
      <c r="D516" s="2" t="str">
        <v>П.Д.Х.А.Е.-Империя</v>
      </c>
      <c r="E516" s="2" t="str">
        <v>-</v>
      </c>
      <c r="F516" s="2" t="str">
        <v>-</v>
      </c>
      <c r="G516" s="2" t="str">
        <v>-</v>
      </c>
    </row>
    <row r="517">
      <c r="A517" s="2" t="str">
        <v>01/05 ВС</v>
      </c>
      <c r="B517" s="2" t="str">
        <v>17:00</v>
      </c>
      <c r="C517" s="2" t="str">
        <v>ИТАЛИЯ ИТАЛИЯ</v>
      </c>
      <c r="D517" s="2" t="str">
        <v>Салуццо-Асти</v>
      </c>
      <c r="E517" s="2" t="str">
        <v>-</v>
      </c>
      <c r="F517" s="2" t="str">
        <v>-</v>
      </c>
      <c r="G517" s="2" t="str">
        <v>-</v>
      </c>
    </row>
    <row r="518">
      <c r="A518" s="2" t="str">
        <v>01/05 ВС</v>
      </c>
      <c r="B518" s="2" t="str">
        <v>17:00</v>
      </c>
      <c r="C518" s="2" t="str">
        <v>ИТАЛИЯ ИТАЛИЯ</v>
      </c>
      <c r="D518" s="2" t="str">
        <v>Санремезе-Сестри Леванте</v>
      </c>
      <c r="E518" s="2" t="str">
        <v>-</v>
      </c>
      <c r="F518" s="2" t="str">
        <v>-</v>
      </c>
      <c r="G518" s="2" t="str">
        <v>-</v>
      </c>
    </row>
    <row r="519">
      <c r="A519" s="2" t="str">
        <v>01/05 ВС</v>
      </c>
      <c r="B519" s="2" t="str">
        <v>17:00</v>
      </c>
      <c r="C519" s="2" t="str">
        <v>ИТАЛИЯ ИТАЛИЯ</v>
      </c>
      <c r="D519" s="2" t="str">
        <v>Фоссано-Боргозезиа</v>
      </c>
      <c r="E519" s="2" t="str">
        <v>-</v>
      </c>
      <c r="F519" s="2" t="str">
        <v>-</v>
      </c>
      <c r="G519" s="2" t="str">
        <v>-</v>
      </c>
    </row>
    <row r="520">
      <c r="A520" s="2" t="str">
        <v>01/05 ВС</v>
      </c>
      <c r="B520" s="2" t="str">
        <v>17:00</v>
      </c>
      <c r="C520" s="2" t="str">
        <v>ИТАЛИЯ ИТАЛИЯ</v>
      </c>
      <c r="D520" s="2" t="str">
        <v>ХСЛ Дертона-Тичино</v>
      </c>
      <c r="E520" s="2" t="str">
        <v>-</v>
      </c>
      <c r="F520" s="2" t="str">
        <v>-</v>
      </c>
      <c r="G520" s="2" t="str">
        <v>-</v>
      </c>
    </row>
    <row r="521">
      <c r="A521" s="2" t="str">
        <v>01/05 ВС</v>
      </c>
      <c r="B521" s="2" t="str">
        <v>17:00</v>
      </c>
      <c r="C521" s="2" t="str">
        <v>ИТАЛИЯ ИТАЛИЯ</v>
      </c>
      <c r="D521" s="2" t="str">
        <v>Брено-Чизерано-Бергамо</v>
      </c>
      <c r="E521" s="2" t="str">
        <v>-</v>
      </c>
      <c r="F521" s="2" t="str">
        <v>-</v>
      </c>
      <c r="G521" s="2" t="str">
        <v>-</v>
      </c>
    </row>
    <row r="522">
      <c r="A522" s="2" t="str">
        <v>01/05 ВС</v>
      </c>
      <c r="B522" s="2" t="str">
        <v>17:00</v>
      </c>
      <c r="C522" s="2" t="str">
        <v>ИТАЛИЯ ИТАЛИЯ</v>
      </c>
      <c r="D522" s="2" t="str">
        <v>Брузапорто-Арконатезе</v>
      </c>
      <c r="E522" s="2" t="str">
        <v>-</v>
      </c>
      <c r="F522" s="2" t="str">
        <v>-</v>
      </c>
      <c r="G522" s="2" t="str">
        <v>-</v>
      </c>
    </row>
    <row r="523">
      <c r="A523" s="2" t="str">
        <v>01/05 ВС</v>
      </c>
      <c r="B523" s="2" t="str">
        <v>17:00</v>
      </c>
      <c r="C523" s="2" t="str">
        <v>ИТАЛИЯ ИТАЛИЯ</v>
      </c>
      <c r="D523" s="2" t="str">
        <v>Дезенцано Кальвина-Фольгоре Чаратезе</v>
      </c>
      <c r="E523" s="2" t="str">
        <v>-</v>
      </c>
      <c r="F523" s="2" t="str">
        <v>-</v>
      </c>
      <c r="G523" s="2" t="str">
        <v>-</v>
      </c>
    </row>
    <row r="524">
      <c r="A524" s="2" t="str">
        <v>01/05 ВС</v>
      </c>
      <c r="B524" s="2" t="str">
        <v>17:00</v>
      </c>
      <c r="C524" s="2" t="str">
        <v>ИТАЛИЯ ИТАЛИЯ</v>
      </c>
      <c r="D524" s="2" t="str">
        <v>Казатезе-Вис Нова Джуссано</v>
      </c>
      <c r="E524" s="2" t="str">
        <v>-</v>
      </c>
      <c r="F524" s="2" t="str">
        <v>-</v>
      </c>
      <c r="G524" s="2" t="str">
        <v>-</v>
      </c>
    </row>
    <row r="525">
      <c r="A525" s="2" t="str">
        <v>01/05 ВС</v>
      </c>
      <c r="B525" s="2" t="str">
        <v>17:00</v>
      </c>
      <c r="C525" s="2" t="str">
        <v>ИТАЛИЯ ИТАЛИЯ</v>
      </c>
      <c r="D525" s="2" t="str">
        <v>Кастеллансезе-Франчакорта</v>
      </c>
      <c r="E525" s="2" t="str">
        <v>-</v>
      </c>
      <c r="F525" s="2" t="str">
        <v>-</v>
      </c>
      <c r="G525" s="2" t="str">
        <v>-</v>
      </c>
    </row>
    <row r="526">
      <c r="A526" s="2" t="str">
        <v>01/05 ВС</v>
      </c>
      <c r="B526" s="2" t="str">
        <v>17:00</v>
      </c>
      <c r="C526" s="2" t="str">
        <v>ИТАЛИЯ ИТАЛИЯ</v>
      </c>
      <c r="D526" s="2" t="str">
        <v>Крема-Леон</v>
      </c>
      <c r="E526" s="2" t="str">
        <v>-</v>
      </c>
      <c r="F526" s="2" t="str">
        <v>-</v>
      </c>
      <c r="G526" s="2" t="str">
        <v>-</v>
      </c>
    </row>
    <row r="527">
      <c r="A527" s="2" t="str">
        <v>01/05 ВС</v>
      </c>
      <c r="B527" s="2" t="str">
        <v>17:00</v>
      </c>
      <c r="C527" s="2" t="str">
        <v>ИТАЛИЯ ИТАЛИЯ</v>
      </c>
      <c r="D527" s="2" t="str">
        <v>Леньяно-Вилла Валле</v>
      </c>
      <c r="E527" s="2" t="str">
        <v>-</v>
      </c>
      <c r="F527" s="2" t="str">
        <v>-</v>
      </c>
      <c r="G527" s="2" t="str">
        <v>-</v>
      </c>
    </row>
    <row r="528">
      <c r="A528" s="2" t="str">
        <v>01/05 ВС</v>
      </c>
      <c r="B528" s="2" t="str">
        <v>17:00</v>
      </c>
      <c r="C528" s="2" t="str">
        <v>ИТАЛИЯ ИТАЛИЯ</v>
      </c>
      <c r="D528" s="2" t="str">
        <v>Ольджинатезе-Сона</v>
      </c>
      <c r="E528" s="2" t="str">
        <v>-</v>
      </c>
      <c r="F528" s="2" t="str">
        <v>-</v>
      </c>
      <c r="G528" s="2" t="str">
        <v>-</v>
      </c>
    </row>
    <row r="529">
      <c r="A529" s="2" t="str">
        <v>01/05 ВС</v>
      </c>
      <c r="B529" s="2" t="str">
        <v>17:00</v>
      </c>
      <c r="C529" s="2" t="str">
        <v>ИТАЛИЯ ИТАЛИЯ</v>
      </c>
      <c r="D529" s="2" t="str">
        <v>Понте Сан-Пьетро-Караваджо</v>
      </c>
      <c r="E529" s="2" t="str">
        <v>-</v>
      </c>
      <c r="F529" s="2" t="str">
        <v>-</v>
      </c>
      <c r="G529" s="2" t="str">
        <v>-</v>
      </c>
    </row>
    <row r="530">
      <c r="A530" s="2" t="str">
        <v>01/05 ВС</v>
      </c>
      <c r="B530" s="2" t="str">
        <v>17:00</v>
      </c>
      <c r="C530" s="2" t="str">
        <v>ИТАЛИЯ ИТАЛИЯ</v>
      </c>
      <c r="D530" s="2" t="str">
        <v>Сити Нова-Реал Чалепина</v>
      </c>
      <c r="E530" s="2" t="str">
        <v>-</v>
      </c>
      <c r="F530" s="2" t="str">
        <v>-</v>
      </c>
      <c r="G530" s="2" t="str">
        <v>-</v>
      </c>
    </row>
    <row r="531">
      <c r="A531" s="2" t="str">
        <v>01/05 ВС</v>
      </c>
      <c r="B531" s="2" t="str">
        <v>17:00</v>
      </c>
      <c r="C531" s="2" t="str">
        <v>ИТАЛИЯ ИТАЛИЯ</v>
      </c>
      <c r="D531" s="2" t="str">
        <v>Адриезе-Сан-Мартино Спеме</v>
      </c>
      <c r="E531" s="2" t="str">
        <v>-</v>
      </c>
      <c r="F531" s="2" t="str">
        <v>-</v>
      </c>
      <c r="G531" s="2" t="str">
        <v>-</v>
      </c>
    </row>
    <row r="532">
      <c r="A532" s="2" t="str">
        <v>01/05 ВС</v>
      </c>
      <c r="B532" s="2" t="str">
        <v>17:00</v>
      </c>
      <c r="C532" s="2" t="str">
        <v>ИТАЛИЯ ИТАЛИЯ</v>
      </c>
      <c r="D532" s="2" t="str">
        <v>Амброзиана-Спинеа</v>
      </c>
      <c r="E532" s="2" t="str">
        <v>-</v>
      </c>
      <c r="F532" s="2" t="str">
        <v>-</v>
      </c>
      <c r="G532" s="2" t="str">
        <v>-</v>
      </c>
    </row>
    <row r="533">
      <c r="A533" s="2" t="str">
        <v>01/05 ВС</v>
      </c>
      <c r="B533" s="2" t="str">
        <v>17:00</v>
      </c>
      <c r="C533" s="2" t="str">
        <v>ИТАЛИЯ ИТАЛИЯ</v>
      </c>
      <c r="D533" s="2" t="str">
        <v>Кальдиеро Терме-Дельта Ровиго</v>
      </c>
      <c r="E533" s="2" t="str">
        <v>-</v>
      </c>
      <c r="F533" s="2" t="str">
        <v>-</v>
      </c>
      <c r="G533" s="2" t="str">
        <v>-</v>
      </c>
    </row>
    <row r="534">
      <c r="A534" s="2" t="str">
        <v>01/05 ВС</v>
      </c>
      <c r="B534" s="2" t="str">
        <v>17:00</v>
      </c>
      <c r="C534" s="2" t="str">
        <v>ИТАЛИЯ ИТАЛИЯ</v>
      </c>
      <c r="D534" s="2" t="str">
        <v>Картильяно-Местре</v>
      </c>
      <c r="E534" s="2" t="str">
        <v>-</v>
      </c>
      <c r="F534" s="2" t="str">
        <v>-</v>
      </c>
      <c r="G534" s="2" t="str">
        <v>-</v>
      </c>
    </row>
    <row r="535">
      <c r="A535" s="2" t="str">
        <v>01/05 ВС</v>
      </c>
      <c r="B535" s="2" t="str">
        <v>17:00</v>
      </c>
      <c r="C535" s="2" t="str">
        <v>ИТАЛИЯ ИТАЛИЯ</v>
      </c>
      <c r="D535" s="2" t="str">
        <v>Монтебеллуна-Лупаренсе</v>
      </c>
      <c r="E535" s="2" t="str">
        <v>-</v>
      </c>
      <c r="F535" s="2" t="str">
        <v>-</v>
      </c>
      <c r="G535" s="2" t="str">
        <v>-</v>
      </c>
    </row>
    <row r="536">
      <c r="A536" s="2" t="str">
        <v>01/05 ВС</v>
      </c>
      <c r="B536" s="2" t="str">
        <v>17:00</v>
      </c>
      <c r="C536" s="2" t="str">
        <v>ИТАЛИЯ ИТАЛИЯ</v>
      </c>
      <c r="D536" s="2" t="str">
        <v>Унион Клодиенсе-Каттолика</v>
      </c>
      <c r="E536" s="2" t="str">
        <v>-</v>
      </c>
      <c r="F536" s="2" t="str">
        <v>-</v>
      </c>
      <c r="G536" s="2" t="str">
        <v>-</v>
      </c>
    </row>
    <row r="537">
      <c r="A537" s="2" t="str">
        <v>01/05 ВС</v>
      </c>
      <c r="B537" s="2" t="str">
        <v>17:00</v>
      </c>
      <c r="C537" s="2" t="str">
        <v>ИТАЛИЯ ИТАЛИЯ</v>
      </c>
      <c r="D537" s="2" t="str">
        <v>Эсте-АрциньяноКьямпо</v>
      </c>
      <c r="E537" s="2" t="str">
        <v>-</v>
      </c>
      <c r="F537" s="2" t="str">
        <v>-</v>
      </c>
      <c r="G537" s="2" t="str">
        <v>-</v>
      </c>
    </row>
    <row r="538">
      <c r="A538" s="2" t="str">
        <v>01/05 ВС</v>
      </c>
      <c r="B538" s="2" t="str">
        <v>18:00</v>
      </c>
      <c r="C538" s="2" t="str">
        <v>ИТАЛИЯ ИТАЛИЯ</v>
      </c>
      <c r="D538" s="2" t="str">
        <v>Камподарсего-Левико Терме</v>
      </c>
      <c r="E538" s="2" t="str">
        <v>-</v>
      </c>
      <c r="F538" s="2" t="str">
        <v>-</v>
      </c>
      <c r="G538" s="2" t="str">
        <v>-</v>
      </c>
    </row>
    <row r="539">
      <c r="A539" s="2" t="str">
        <v>01/05 ВС</v>
      </c>
      <c r="B539" s="2" t="str">
        <v>18:00</v>
      </c>
      <c r="C539" s="2" t="str">
        <v>ИТАЛИЯ ИТАЛИЯ</v>
      </c>
      <c r="D539" s="2" t="str">
        <v>Гивиццано Борго-Саммаурезе</v>
      </c>
      <c r="E539" s="2" t="str">
        <v>-</v>
      </c>
      <c r="F539" s="2" t="str">
        <v>-</v>
      </c>
      <c r="G539" s="2" t="str">
        <v>-</v>
      </c>
    </row>
    <row r="540">
      <c r="A540" s="2" t="str">
        <v>01/05 ВС</v>
      </c>
      <c r="B540" s="2" t="str">
        <v>17:00</v>
      </c>
      <c r="C540" s="2" t="str">
        <v>ИТАЛИЯ ИТАЛИЯ</v>
      </c>
      <c r="D540" s="2" t="str">
        <v>Ареццо-Каннара</v>
      </c>
      <c r="E540" s="2" t="str">
        <v>-</v>
      </c>
      <c r="F540" s="2" t="str">
        <v>-</v>
      </c>
      <c r="G540" s="2" t="str">
        <v>-</v>
      </c>
    </row>
    <row r="541">
      <c r="A541" s="2" t="str">
        <v>01/05 ВС</v>
      </c>
      <c r="B541" s="2" t="str">
        <v>17:00</v>
      </c>
      <c r="C541" s="2" t="str">
        <v>ИТАЛИЯ ИТАЛИЯ</v>
      </c>
      <c r="D541" s="2" t="str">
        <v>Гаворрано-Унипомеция</v>
      </c>
      <c r="E541" s="2" t="str">
        <v>-</v>
      </c>
      <c r="F541" s="2" t="str">
        <v>-</v>
      </c>
      <c r="G541" s="2" t="str">
        <v>-</v>
      </c>
    </row>
    <row r="542">
      <c r="A542" s="2" t="str">
        <v>01/05 ВС</v>
      </c>
      <c r="B542" s="2" t="str">
        <v>17:00</v>
      </c>
      <c r="C542" s="2" t="str">
        <v>ИТАЛИЯ ИТАЛИЯ</v>
      </c>
      <c r="D542" s="2" t="str">
        <v>Кашина-Риети</v>
      </c>
      <c r="E542" s="2" t="str">
        <v>-</v>
      </c>
      <c r="F542" s="2" t="str">
        <v>-</v>
      </c>
      <c r="G542" s="2" t="str">
        <v>-</v>
      </c>
    </row>
    <row r="543">
      <c r="A543" s="2" t="str">
        <v>01/05 ВС</v>
      </c>
      <c r="B543" s="2" t="str">
        <v>17:00</v>
      </c>
      <c r="C543" s="2" t="str">
        <v>ИТАЛИЯ ИТАЛИЯ</v>
      </c>
      <c r="D543" s="2" t="str">
        <v>Монтеспаккато-Трестина</v>
      </c>
      <c r="E543" s="2" t="str">
        <v>-</v>
      </c>
      <c r="F543" s="2" t="str">
        <v>-</v>
      </c>
      <c r="G543" s="2" t="str">
        <v>-</v>
      </c>
    </row>
    <row r="544">
      <c r="A544" s="2" t="str">
        <v>01/05 ВС</v>
      </c>
      <c r="B544" s="2" t="str">
        <v>17:00</v>
      </c>
      <c r="C544" s="2" t="str">
        <v>ИТАЛИЯ ИТАЛИЯ</v>
      </c>
      <c r="D544" s="2" t="str">
        <v>Про Ливорно-Поггибонси</v>
      </c>
      <c r="E544" s="2" t="str">
        <v>-</v>
      </c>
      <c r="F544" s="2" t="str">
        <v>-</v>
      </c>
      <c r="G544" s="2" t="str">
        <v>-</v>
      </c>
    </row>
    <row r="545">
      <c r="A545" s="2" t="str">
        <v>01/05 ВС</v>
      </c>
      <c r="B545" s="2" t="str">
        <v>17:00</v>
      </c>
      <c r="C545" s="2" t="str">
        <v>ИТАЛИЯ ИТАЛИЯ</v>
      </c>
      <c r="D545" s="2" t="str">
        <v>Сан-Донато-Скандиччи</v>
      </c>
      <c r="E545" s="2" t="str">
        <v>-</v>
      </c>
      <c r="F545" s="2" t="str">
        <v>-</v>
      </c>
      <c r="G545" s="2" t="str">
        <v>-</v>
      </c>
    </row>
    <row r="546">
      <c r="A546" s="2" t="str">
        <v>01/05 ВС</v>
      </c>
      <c r="B546" s="2" t="str">
        <v>17:00</v>
      </c>
      <c r="C546" s="2" t="str">
        <v>ИТАЛИЯ ИТАЛИЯ</v>
      </c>
      <c r="D546" s="2" t="str">
        <v>Санджованнезе-Фламиния</v>
      </c>
      <c r="E546" s="2" t="str">
        <v>-</v>
      </c>
      <c r="F546" s="2" t="str">
        <v>-</v>
      </c>
      <c r="G546" s="2" t="str">
        <v>-</v>
      </c>
    </row>
    <row r="547">
      <c r="A547" s="2" t="str">
        <v>01/05 ВС</v>
      </c>
      <c r="B547" s="2" t="str">
        <v>17:00</v>
      </c>
      <c r="C547" s="2" t="str">
        <v>ИТАЛИЯ ИТАЛИЯ</v>
      </c>
      <c r="D547" s="2" t="str">
        <v>Тиферно Лерчи-Пьянезе</v>
      </c>
      <c r="E547" s="2" t="str">
        <v>-</v>
      </c>
      <c r="F547" s="2" t="str">
        <v>-</v>
      </c>
      <c r="G547" s="2" t="str">
        <v>-</v>
      </c>
    </row>
    <row r="548">
      <c r="A548" s="2" t="str">
        <v>01/05 ВС</v>
      </c>
      <c r="B548" s="2" t="str">
        <v>17:00</v>
      </c>
      <c r="C548" s="2" t="str">
        <v>ИТАЛИЯ ИТАЛИЯ</v>
      </c>
      <c r="D548" s="2" t="str">
        <v>Фолиньо-Лорнано Бадессе</v>
      </c>
      <c r="E548" s="2" t="str">
        <v>-</v>
      </c>
      <c r="F548" s="2" t="str">
        <v>-</v>
      </c>
      <c r="G548" s="2" t="str">
        <v>-</v>
      </c>
    </row>
    <row r="549">
      <c r="A549" s="2" t="str">
        <v>01/05 ВС</v>
      </c>
      <c r="B549" s="2" t="str">
        <v>17:00</v>
      </c>
      <c r="C549" s="2" t="str">
        <v>ИТАЛИЯ ИТАЛИЯ</v>
      </c>
      <c r="D549" s="2" t="str">
        <v>Монтеджорджо-Вастоджирарди</v>
      </c>
      <c r="E549" s="2" t="str">
        <v>-</v>
      </c>
      <c r="F549" s="2" t="str">
        <v>-</v>
      </c>
      <c r="G549" s="2" t="str">
        <v>-</v>
      </c>
    </row>
    <row r="550">
      <c r="A550" s="2" t="str">
        <v>01/05 ВС</v>
      </c>
      <c r="B550" s="2" t="str">
        <v>17:00</v>
      </c>
      <c r="C550" s="2" t="str">
        <v>ИТАЛИЯ ИТАЛИЯ</v>
      </c>
      <c r="D550" s="2" t="str">
        <v>Арцакена-Вис Артена</v>
      </c>
      <c r="E550" s="2" t="str">
        <v>-</v>
      </c>
      <c r="F550" s="2" t="str">
        <v>-</v>
      </c>
      <c r="G550" s="2" t="str">
        <v>-</v>
      </c>
    </row>
    <row r="551">
      <c r="A551" s="2" t="str">
        <v>01/05 ВС</v>
      </c>
      <c r="B551" s="2" t="str">
        <v>17:00</v>
      </c>
      <c r="C551" s="2" t="str">
        <v>ИТАЛИЯ ИТАЛИЯ</v>
      </c>
      <c r="D551" s="2" t="str">
        <v>Кассино-Афраголезе</v>
      </c>
      <c r="E551" s="2" t="str">
        <v>-</v>
      </c>
      <c r="F551" s="2" t="str">
        <v>-</v>
      </c>
      <c r="G551" s="2" t="str">
        <v>-</v>
      </c>
    </row>
    <row r="552">
      <c r="A552" s="2" t="str">
        <v>01/05 ВС</v>
      </c>
      <c r="B552" s="2" t="str">
        <v>17:00</v>
      </c>
      <c r="C552" s="2" t="str">
        <v>ИТАЛИЯ ИТАЛИЯ</v>
      </c>
      <c r="D552" s="2" t="str">
        <v>Остиа Маре-Нуова Флорида</v>
      </c>
      <c r="E552" s="2" t="str">
        <v>-</v>
      </c>
      <c r="F552" s="2" t="str">
        <v>-</v>
      </c>
      <c r="G552" s="2" t="str">
        <v>-</v>
      </c>
    </row>
    <row r="553">
      <c r="A553" s="2" t="str">
        <v>01/05 ВС</v>
      </c>
      <c r="B553" s="2" t="str">
        <v>17:00</v>
      </c>
      <c r="C553" s="2" t="str">
        <v>ИТАЛИЯ ИТАЛИЯ</v>
      </c>
      <c r="D553" s="2" t="str">
        <v>Сорренто-Казертана</v>
      </c>
      <c r="E553" s="2" t="str">
        <v>-</v>
      </c>
      <c r="F553" s="2" t="str">
        <v>-</v>
      </c>
      <c r="G553" s="2" t="str">
        <v>-</v>
      </c>
    </row>
    <row r="554">
      <c r="A554" s="2" t="str">
        <v>01/05 ВС</v>
      </c>
      <c r="B554" s="2" t="str">
        <v>17:00</v>
      </c>
      <c r="C554" s="2" t="str">
        <v>ИТАЛИЯ ИТАЛИЯ</v>
      </c>
      <c r="D554" s="2" t="str">
        <v>Франкавилла-Виртус Матино</v>
      </c>
      <c r="E554" s="2" t="str">
        <v>-</v>
      </c>
      <c r="F554" s="2" t="str">
        <v>-</v>
      </c>
      <c r="G554" s="2" t="str">
        <v>-</v>
      </c>
    </row>
    <row r="555">
      <c r="A555" s="2" t="str">
        <v>01/05 ВС</v>
      </c>
      <c r="B555" s="2" t="str">
        <v>17:30</v>
      </c>
      <c r="C555" s="2" t="str">
        <v>ИТАЛИЯ ИТАЛИЯ</v>
      </c>
      <c r="D555" s="2" t="str">
        <v>Сан Джорджио-Бишелье</v>
      </c>
      <c r="E555" s="2" t="str">
        <v>-</v>
      </c>
      <c r="F555" s="2" t="str">
        <v>-</v>
      </c>
      <c r="G555" s="2" t="str">
        <v>-</v>
      </c>
    </row>
    <row r="556">
      <c r="A556" s="2" t="str">
        <v>01/05 ВС</v>
      </c>
      <c r="B556" s="2" t="str">
        <v>20:30</v>
      </c>
      <c r="C556" s="2" t="str">
        <v>ИТАЛИЯ ИТАЛИЯ</v>
      </c>
      <c r="D556" s="2" t="str">
        <v>Мольфетта Кальчо-Гравина</v>
      </c>
      <c r="E556" s="2" t="str">
        <v>-</v>
      </c>
      <c r="F556" s="2" t="str">
        <v>-</v>
      </c>
      <c r="G556" s="2" t="str">
        <v>-</v>
      </c>
    </row>
    <row r="557">
      <c r="A557" s="2" t="str">
        <v>01/05 ВС</v>
      </c>
      <c r="B557" s="2" t="str">
        <v>17:00</v>
      </c>
      <c r="C557" s="2" t="str">
        <v>ИТАЛИЯ ИТАЛИЯ</v>
      </c>
      <c r="D557" s="2" t="str">
        <v>Ачиреале-Ликата</v>
      </c>
      <c r="E557" s="2" t="str">
        <v>-</v>
      </c>
      <c r="F557" s="2" t="str">
        <v>-</v>
      </c>
      <c r="G557" s="2" t="str">
        <v>-</v>
      </c>
    </row>
    <row r="558">
      <c r="A558" s="2" t="str">
        <v>01/05 ВС</v>
      </c>
      <c r="B558" s="2" t="str">
        <v>17:00</v>
      </c>
      <c r="C558" s="2" t="str">
        <v>ИТАЛИЯ ИТАЛИЯ</v>
      </c>
      <c r="D558" s="2" t="str">
        <v>Кастровиллари-Ренде</v>
      </c>
      <c r="E558" s="2" t="str">
        <v>-</v>
      </c>
      <c r="F558" s="2" t="str">
        <v>-</v>
      </c>
      <c r="G558" s="2" t="str">
        <v>-</v>
      </c>
    </row>
    <row r="559">
      <c r="A559" s="2" t="str">
        <v>01/05 ВС</v>
      </c>
      <c r="B559" s="2" t="str">
        <v>18:00</v>
      </c>
      <c r="C559" s="2" t="str">
        <v>ИТАЛИЯ ИТАЛИЯ</v>
      </c>
      <c r="D559" s="2" t="str">
        <v>Санкатальдезе-Троина</v>
      </c>
      <c r="E559" s="2" t="str">
        <v>-</v>
      </c>
      <c r="F559" s="2" t="str">
        <v>-</v>
      </c>
      <c r="G559" s="2" t="str">
        <v>-</v>
      </c>
    </row>
    <row r="560">
      <c r="A560" s="2" t="str">
        <v>01/05 ВС</v>
      </c>
      <c r="B560" s="2" t="str">
        <v>17:00</v>
      </c>
      <c r="C560" s="2" t="str">
        <v>ИТАЛИЯ ИТАЛИЯ</v>
      </c>
      <c r="D560" s="2" t="str">
        <v>Аудаче Чериньола-Читтановезе</v>
      </c>
      <c r="E560" s="2" t="str">
        <v>-</v>
      </c>
      <c r="F560" s="2" t="str">
        <v>-</v>
      </c>
      <c r="G560" s="2" t="str">
        <v>-</v>
      </c>
    </row>
    <row r="561">
      <c r="A561" s="2" t="str">
        <v>01/05 ВС</v>
      </c>
      <c r="B561" s="2" t="str">
        <v>12:45</v>
      </c>
      <c r="C561" s="2" t="str">
        <v>ИТАЛИЯ ИТАЛИЯ</v>
      </c>
      <c r="D561" s="2" t="str">
        <v>Рома U19-Кальяри U19</v>
      </c>
      <c r="E561" s="2" t="str">
        <v>-</v>
      </c>
      <c r="F561" s="2" t="str">
        <v>-</v>
      </c>
      <c r="G561" s="2" t="str">
        <v>-</v>
      </c>
    </row>
    <row r="562" xml:space="preserve">
      <c r="A562" s="2" t="str">
        <v>01/05 ВС</v>
      </c>
      <c r="B562" s="2" t="str" xml:space="preserve">
        <v xml:space="preserve">15:00_x000d_
TKP</v>
      </c>
      <c r="C562" s="2" t="str">
        <v>ИТАЛИЯ ИТАЛИЯ</v>
      </c>
      <c r="D562" s="2" t="str">
        <v>Рома (Ж)-Кортефранка (Ж)</v>
      </c>
      <c r="E562" s="2" t="str">
        <v>-</v>
      </c>
      <c r="F562" s="2" t="str">
        <v>-</v>
      </c>
      <c r="G562" s="2" t="str">
        <v>-</v>
      </c>
    </row>
    <row r="563" xml:space="preserve">
      <c r="A563" s="2" t="str">
        <v>01/05 ВС</v>
      </c>
      <c r="B563" s="2" t="str" xml:space="preserve">
        <v xml:space="preserve">16:30_x000d_
TKP</v>
      </c>
      <c r="C563" s="2" t="str">
        <v>ИТАЛИЯ ИТАЛИЯ</v>
      </c>
      <c r="D563" s="2" t="str">
        <v>Торрес (Ж)-Ак. Сан-Марино (Ж)</v>
      </c>
      <c r="E563" s="2" t="str">
        <v>-</v>
      </c>
      <c r="F563" s="2" t="str">
        <v>-</v>
      </c>
      <c r="G563" s="2" t="str">
        <v>-</v>
      </c>
    </row>
    <row r="564" xml:space="preserve">
      <c r="A564" s="2" t="str">
        <v>01/05 ВС</v>
      </c>
      <c r="B564" s="2" t="str" xml:space="preserve">
        <v xml:space="preserve">17:00_x000d_
TKP</v>
      </c>
      <c r="C564" s="2" t="str">
        <v>ИТАЛИЯ ИТАЛИЯ</v>
      </c>
      <c r="D564" s="2" t="str">
        <v>Про Сесто (Ж)-Кьево Верона (Ж)</v>
      </c>
      <c r="E564" s="2" t="str">
        <v>-</v>
      </c>
      <c r="F564" s="2" t="str">
        <v>-</v>
      </c>
      <c r="G564" s="2" t="str">
        <v>-</v>
      </c>
    </row>
    <row r="565" xml:space="preserve">
      <c r="A565" s="2" t="str">
        <v>01/05 ВС</v>
      </c>
      <c r="B565" s="2" t="str" xml:space="preserve">
        <v xml:space="preserve">17:00_x000d_
TKP</v>
      </c>
      <c r="C565" s="2" t="str">
        <v>ИТАЛИЯ ИТАЛИЯ</v>
      </c>
      <c r="D565" s="2" t="str">
        <v>Равенна (Ж)-Брешия (Ж)</v>
      </c>
      <c r="E565" s="2" t="str">
        <v>-</v>
      </c>
      <c r="F565" s="2" t="str">
        <v>-</v>
      </c>
      <c r="G565" s="2" t="str">
        <v>-</v>
      </c>
    </row>
    <row r="566" xml:space="preserve">
      <c r="A566" s="2" t="str">
        <v>01/05 ВС</v>
      </c>
      <c r="B566" s="2" t="str" xml:space="preserve">
        <v xml:space="preserve">17:00_x000d_
TKP</v>
      </c>
      <c r="C566" s="2" t="str">
        <v>ИТАЛИЯ ИТАЛИЯ</v>
      </c>
      <c r="D566" s="2" t="str">
        <v>Чезена (Ж)-Таваньяччо (Ж)</v>
      </c>
      <c r="E566" s="2" t="str">
        <v>-</v>
      </c>
      <c r="F566" s="2" t="str">
        <v>-</v>
      </c>
      <c r="G566" s="2" t="str">
        <v>-</v>
      </c>
    </row>
    <row r="567" xml:space="preserve">
      <c r="A567" s="2" t="str">
        <v>01/05 ВС</v>
      </c>
      <c r="B567" s="2" t="str" xml:space="preserve">
        <v xml:space="preserve">17:00_x000d_
TKP</v>
      </c>
      <c r="C567" s="2" t="str">
        <v>ИТАЛИЯ ИТАЛИЯ</v>
      </c>
      <c r="D567" s="2" t="str">
        <v>Читтаделла (Ж)-Комо (Ж)</v>
      </c>
      <c r="E567" s="2" t="str">
        <v>-</v>
      </c>
      <c r="F567" s="2" t="str">
        <v>-</v>
      </c>
      <c r="G567" s="2" t="str">
        <v>-</v>
      </c>
    </row>
    <row r="568" xml:space="preserve">
      <c r="A568" s="2" t="str">
        <v>01/05 ВС</v>
      </c>
      <c r="B568" s="2" t="str" xml:space="preserve">
        <v xml:space="preserve">19:00_x000d_
TKP</v>
      </c>
      <c r="C568" s="2" t="str">
        <v>ИТАЛИЯ ИТАЛИЯ</v>
      </c>
      <c r="D568" s="2" t="str">
        <v>Палермо (Ж)-Pink Bari (Ж)</v>
      </c>
      <c r="E568" s="2" t="str">
        <v>-</v>
      </c>
      <c r="F568" s="2" t="str">
        <v>-</v>
      </c>
      <c r="G568" s="2" t="str">
        <v>-</v>
      </c>
    </row>
    <row r="569">
      <c r="A569" s="2" t="str">
        <v>01/05 ВС</v>
      </c>
      <c r="B569" s="2" t="str">
        <v>14:00</v>
      </c>
      <c r="C569" s="2" t="str">
        <v>ИТАЛИЯ ИТАЛИЯ</v>
      </c>
      <c r="D569" s="2" t="str">
        <v>Ювентус (Ж)-Милан (Ж)</v>
      </c>
      <c r="E569" s="2" t="str">
        <v>-</v>
      </c>
      <c r="F569" s="2" t="str">
        <v>-</v>
      </c>
      <c r="G569" s="2" t="str">
        <v>-</v>
      </c>
    </row>
    <row r="570">
      <c r="A570" s="2" t="str">
        <v>01/05 ВС</v>
      </c>
      <c r="B570" s="2" t="str">
        <v>14:00</v>
      </c>
      <c r="C570" s="2" t="str">
        <v>КАЗАХСТАН КАЗАХСТАН</v>
      </c>
      <c r="D570" s="2" t="str">
        <v>Астана-Туран</v>
      </c>
      <c r="E570" s="2" t="str">
        <v>-</v>
      </c>
      <c r="F570" s="2" t="str">
        <v>-</v>
      </c>
      <c r="G570" s="2" t="str">
        <v>-</v>
      </c>
    </row>
    <row r="571">
      <c r="A571" s="2" t="str">
        <v>01/05 ВС</v>
      </c>
      <c r="B571" s="2" t="str">
        <v>16:00</v>
      </c>
      <c r="C571" s="2" t="str">
        <v>КАЗАХСТАН КАЗАХСТАН</v>
      </c>
      <c r="D571" s="2" t="str">
        <v>Атырау-Ордабасы</v>
      </c>
      <c r="E571" s="2" t="str">
        <v>-</v>
      </c>
      <c r="F571" s="2" t="str">
        <v>-</v>
      </c>
      <c r="G571" s="2" t="str">
        <v>-</v>
      </c>
    </row>
    <row r="572">
      <c r="A572" s="2" t="str">
        <v>01/05 ВС</v>
      </c>
      <c r="B572" s="2" t="str">
        <v>17:00</v>
      </c>
      <c r="C572" s="2" t="str">
        <v>КАМЕРУН КАМЕРУН</v>
      </c>
      <c r="D572" s="2" t="str">
        <v>Яфут-Котонспорт</v>
      </c>
      <c r="E572" s="2" t="str">
        <v>-</v>
      </c>
      <c r="F572" s="2" t="str">
        <v>-</v>
      </c>
      <c r="G572" s="2" t="str">
        <v>-</v>
      </c>
    </row>
    <row r="573">
      <c r="A573" s="2" t="str">
        <v>01/05 ВС</v>
      </c>
      <c r="B573" s="2" t="str">
        <v>19:00</v>
      </c>
      <c r="C573" s="2" t="str">
        <v>КАМЕРУН КАМЕРУН</v>
      </c>
      <c r="D573" s="2" t="str">
        <v>Нью Стар-Эдинг Спорт</v>
      </c>
      <c r="E573" s="2" t="str">
        <v>-</v>
      </c>
      <c r="F573" s="2" t="str">
        <v>-</v>
      </c>
      <c r="G573" s="2" t="str">
        <v>-</v>
      </c>
    </row>
    <row r="574">
      <c r="A574" s="2" t="str">
        <v>01/05 ВС</v>
      </c>
      <c r="B574" s="2" t="str">
        <v>22:30</v>
      </c>
      <c r="C574" s="2" t="str">
        <v>КАНАДА КАНАДА</v>
      </c>
      <c r="D574" s="2" t="str">
        <v>Валур-Форге</v>
      </c>
      <c r="E574" s="2" t="str">
        <v>-</v>
      </c>
      <c r="F574" s="2" t="str">
        <v>-</v>
      </c>
      <c r="G574" s="2" t="str">
        <v>-</v>
      </c>
    </row>
    <row r="575">
      <c r="A575" s="2" t="str">
        <v>01/05 ВС</v>
      </c>
      <c r="B575" s="2" t="str">
        <v>16:00</v>
      </c>
      <c r="C575" s="2" t="str">
        <v>КЕНИЯ КЕНИЯ</v>
      </c>
      <c r="D575" s="2" t="str">
        <v>Гор Махиа-Кариобанги Шаркс</v>
      </c>
      <c r="E575" s="2" t="str">
        <v>-</v>
      </c>
      <c r="F575" s="2" t="str">
        <v>-</v>
      </c>
      <c r="G575" s="2" t="str">
        <v>-</v>
      </c>
    </row>
    <row r="576">
      <c r="A576" s="2" t="str">
        <v>01/05 ВС</v>
      </c>
      <c r="B576" s="2" t="str">
        <v>16:00</v>
      </c>
      <c r="C576" s="2" t="str">
        <v>КЕНИЯ КЕНИЯ</v>
      </c>
      <c r="D576" s="2" t="str">
        <v>Какамега Хоумбойз-Вазито</v>
      </c>
      <c r="E576" s="2" t="str">
        <v>-</v>
      </c>
      <c r="F576" s="2" t="str">
        <v>-</v>
      </c>
      <c r="G576" s="2" t="str">
        <v>-</v>
      </c>
    </row>
    <row r="577">
      <c r="A577" s="2" t="str">
        <v>01/05 ВС</v>
      </c>
      <c r="B577" s="2" t="str">
        <v>16:00</v>
      </c>
      <c r="C577" s="2" t="str">
        <v>КЕНИЯ КЕНИЯ</v>
      </c>
      <c r="D577" s="2" t="str">
        <v>Леопардс-KCB</v>
      </c>
      <c r="E577" s="2" t="str">
        <v>-</v>
      </c>
      <c r="F577" s="2" t="str">
        <v>-</v>
      </c>
      <c r="G577" s="2" t="str">
        <v>-</v>
      </c>
    </row>
    <row r="578">
      <c r="A578" s="2" t="str">
        <v>01/05 ВС</v>
      </c>
      <c r="B578" s="2" t="str">
        <v>16:00</v>
      </c>
      <c r="C578" s="2" t="str">
        <v>КЕНИЯ КЕНИЯ</v>
      </c>
      <c r="D578" s="2" t="str">
        <v>Найроби Сити Старз-Полис</v>
      </c>
      <c r="E578" s="2" t="str">
        <v>-</v>
      </c>
      <c r="F578" s="2" t="str">
        <v>-</v>
      </c>
      <c r="G578" s="2" t="str">
        <v>-</v>
      </c>
    </row>
    <row r="579">
      <c r="A579" s="2" t="str">
        <v>01/05 ВС</v>
      </c>
      <c r="B579" s="2" t="str">
        <v>16:00</v>
      </c>
      <c r="C579" s="2" t="str">
        <v>КЕНИЯ КЕНИЯ</v>
      </c>
      <c r="D579" s="2" t="str">
        <v>Софапака-Нзоя Шугар</v>
      </c>
      <c r="E579" s="2" t="str">
        <v>-</v>
      </c>
      <c r="F579" s="2" t="str">
        <v>-</v>
      </c>
      <c r="G579" s="2" t="str">
        <v>-</v>
      </c>
    </row>
    <row r="580">
      <c r="A580" s="2" t="str">
        <v>01/05 ВС</v>
      </c>
      <c r="B580" s="2" t="str">
        <v>20:00</v>
      </c>
      <c r="C580" s="2" t="str">
        <v>КИПР КИПР</v>
      </c>
      <c r="D580" s="2" t="str">
        <v>Докса-Омония</v>
      </c>
      <c r="E580" s="2" t="str">
        <v>-</v>
      </c>
      <c r="F580" s="2" t="str">
        <v>-</v>
      </c>
      <c r="G580" s="2" t="str">
        <v>-</v>
      </c>
    </row>
    <row r="581">
      <c r="A581" s="2" t="str">
        <v>01/05 ВС</v>
      </c>
      <c r="B581" s="2" t="str">
        <v>19:00</v>
      </c>
      <c r="C581" s="2" t="str">
        <v>КИПР КИПР</v>
      </c>
      <c r="D581" s="2" t="str">
        <v>АПОЭЛ-АЕК Ларнака</v>
      </c>
      <c r="E581" s="2" t="str">
        <v>-</v>
      </c>
      <c r="F581" s="2" t="str">
        <v>-</v>
      </c>
      <c r="G581" s="2" t="str">
        <v>-</v>
      </c>
    </row>
    <row r="582" xml:space="preserve">
      <c r="A582" s="2" t="str">
        <v>01/05 ВС</v>
      </c>
      <c r="B582" s="2" t="str" xml:space="preserve">
        <v xml:space="preserve">10:15_x000d_
TKP</v>
      </c>
      <c r="C582" s="2" t="str">
        <v>КИТАЙ КИТАЙ</v>
      </c>
      <c r="D582" s="2" t="str">
        <v>Чанчунь (Ж)-Ухань (Ж)</v>
      </c>
      <c r="E582" s="2" t="str">
        <v>-</v>
      </c>
      <c r="F582" s="2" t="str">
        <v>-</v>
      </c>
      <c r="G582" s="2" t="str">
        <v>-</v>
      </c>
    </row>
    <row r="583" xml:space="preserve">
      <c r="A583" s="2" t="str">
        <v>01/05 ВС</v>
      </c>
      <c r="B583" s="2" t="str" xml:space="preserve">
        <v xml:space="preserve">10:15_x000d_
TKP</v>
      </c>
      <c r="C583" s="2" t="str">
        <v>КИТАЙ КИТАЙ</v>
      </c>
      <c r="D583" s="2" t="str">
        <v>Шаньдун СЛ (Ж)-Сычуань (Ж)</v>
      </c>
      <c r="E583" s="2" t="str">
        <v>-</v>
      </c>
      <c r="F583" s="2" t="str">
        <v>-</v>
      </c>
      <c r="G583" s="2" t="str">
        <v>-</v>
      </c>
    </row>
    <row r="584" xml:space="preserve">
      <c r="A584" s="2" t="str">
        <v>01/05 ВС</v>
      </c>
      <c r="B584" s="2" t="str" xml:space="preserve">
        <v xml:space="preserve">12:00_x000d_
TKP</v>
      </c>
      <c r="C584" s="2" t="str">
        <v>КИТАЙ КИТАЙ</v>
      </c>
      <c r="D584" s="2" t="str">
        <v>Хэнань Суншань Лунмэнь (Ж)-Пекин Бейкон (Ж)</v>
      </c>
      <c r="E584" s="2" t="str">
        <v>-</v>
      </c>
      <c r="F584" s="2" t="str">
        <v>-</v>
      </c>
      <c r="G584" s="2" t="str">
        <v>-</v>
      </c>
    </row>
    <row r="585" xml:space="preserve">
      <c r="A585" s="2" t="str">
        <v>01/05 ВС</v>
      </c>
      <c r="B585" s="2" t="str" xml:space="preserve">
        <v xml:space="preserve">12:30_x000d_
TKP</v>
      </c>
      <c r="C585" s="2" t="str">
        <v>КИТАЙ КИТАЙ</v>
      </c>
      <c r="D585" s="2" t="str">
        <v>Гуандун (Ж)-Цзянсу Сайнти (Ж)</v>
      </c>
      <c r="E585" s="2" t="str">
        <v>-</v>
      </c>
      <c r="F585" s="2" t="str">
        <v>-</v>
      </c>
      <c r="G585" s="2" t="str">
        <v>-</v>
      </c>
    </row>
    <row r="586" xml:space="preserve">
      <c r="A586" s="2" t="str">
        <v>01/05 ВС</v>
      </c>
      <c r="B586" s="2" t="str" xml:space="preserve">
        <v xml:space="preserve">12:30_x000d_
TKP</v>
      </c>
      <c r="C586" s="2" t="str">
        <v>КИТАЙ КИТАЙ</v>
      </c>
      <c r="D586" s="2" t="str">
        <v>Шанхай РСБ (Ж)-Шэньси Чанъань (Ж)</v>
      </c>
      <c r="E586" s="2" t="str">
        <v>-</v>
      </c>
      <c r="F586" s="2" t="str">
        <v>-</v>
      </c>
      <c r="G586" s="2" t="str">
        <v>-</v>
      </c>
    </row>
    <row r="587">
      <c r="A587" s="2" t="str">
        <v>01/05 ВС</v>
      </c>
      <c r="B587" s="2" t="str">
        <v>01:05</v>
      </c>
      <c r="C587" s="2" t="str">
        <v>КОЛУМБИЯ КОЛУМБИЯ</v>
      </c>
      <c r="D587" s="2" t="str">
        <v>Медельин-Атлетико Насьональ</v>
      </c>
      <c r="E587" s="2" t="str">
        <v>3.50</v>
      </c>
      <c r="F587" s="2" t="str">
        <v>3.20</v>
      </c>
      <c r="G587" s="2" t="str">
        <v>2.20</v>
      </c>
    </row>
    <row r="588">
      <c r="A588" s="2" t="str">
        <v>01/05 ВС</v>
      </c>
      <c r="B588" s="2" t="str">
        <v>03:10</v>
      </c>
      <c r="C588" s="2" t="str">
        <v>КОЛУМБИЯ КОЛУМБИЯ</v>
      </c>
      <c r="D588" s="2" t="str">
        <v>Санта Фе-Хагуарес Кордоба</v>
      </c>
      <c r="E588" s="2" t="str">
        <v>1.57</v>
      </c>
      <c r="F588" s="2" t="str">
        <v>4.00</v>
      </c>
      <c r="G588" s="2" t="str">
        <v>6.00</v>
      </c>
    </row>
    <row r="589">
      <c r="A589" s="2" t="str">
        <v>01/05 ВС</v>
      </c>
      <c r="B589" s="2" t="str">
        <v>05:15</v>
      </c>
      <c r="C589" s="2" t="str">
        <v>КОЛУМБИЯ КОЛУМБИЯ</v>
      </c>
      <c r="D589" s="2" t="str">
        <v>Толима-Кортулуа</v>
      </c>
      <c r="E589" s="2" t="str">
        <v>1.57</v>
      </c>
      <c r="F589" s="2" t="str">
        <v>4.00</v>
      </c>
      <c r="G589" s="2" t="str">
        <v>6.50</v>
      </c>
    </row>
    <row r="590">
      <c r="A590" s="2" t="str">
        <v>01/05 ВС</v>
      </c>
      <c r="B590" s="2" t="str">
        <v>23:00</v>
      </c>
      <c r="C590" s="2" t="str">
        <v>КОЛУМБИЯ КОЛУМБИЯ</v>
      </c>
      <c r="D590" s="2" t="str">
        <v>Онсе Кальдас-Депортиво Кали</v>
      </c>
      <c r="E590" s="2" t="str">
        <v>1.90</v>
      </c>
      <c r="F590" s="2" t="str">
        <v>3.10</v>
      </c>
      <c r="G590" s="2" t="str">
        <v>4.75</v>
      </c>
    </row>
    <row r="591">
      <c r="A591" s="2" t="str">
        <v>01/05 ВС</v>
      </c>
      <c r="B591" s="2" t="str">
        <v>00:00</v>
      </c>
      <c r="C591" s="2" t="str">
        <v>КОЛУМБИЯ КОЛУМБИЯ</v>
      </c>
      <c r="D591" s="2" t="str">
        <v>Orsomarso (Ж)-Уила (Ж)</v>
      </c>
      <c r="E591" s="2" t="str">
        <v>-</v>
      </c>
      <c r="F591" s="2" t="str">
        <v>-</v>
      </c>
      <c r="G591" s="2" t="str">
        <v>-</v>
      </c>
    </row>
    <row r="592">
      <c r="A592" s="2" t="str">
        <v>01/05 ВС</v>
      </c>
      <c r="B592" s="2" t="str">
        <v>01:00</v>
      </c>
      <c r="C592" s="2" t="str">
        <v>КОЛУМБИЯ КОЛУМБИЯ</v>
      </c>
      <c r="D592" s="2" t="str">
        <v>Хуниор (Ж)-Форталеза (Ж)</v>
      </c>
      <c r="E592" s="2" t="str">
        <v>-</v>
      </c>
      <c r="F592" s="2" t="str">
        <v>-</v>
      </c>
      <c r="G592" s="2" t="str">
        <v>-</v>
      </c>
    </row>
    <row r="593" xml:space="preserve">
      <c r="A593" s="2" t="str">
        <v>01/05 ВС</v>
      </c>
      <c r="B593" s="2" t="str" xml:space="preserve">
        <v xml:space="preserve">17:00_x000d_
TKP</v>
      </c>
      <c r="C593" s="2" t="str">
        <v>КОНГО КОНГО</v>
      </c>
      <c r="D593" s="2" t="str">
        <v>Таланге-Отохо д'Ойо</v>
      </c>
      <c r="E593" s="2" t="str">
        <v>-</v>
      </c>
      <c r="F593" s="2" t="str">
        <v>-</v>
      </c>
      <c r="G593" s="2" t="str">
        <v>-</v>
      </c>
    </row>
    <row r="594">
      <c r="A594" s="2" t="str">
        <v>01/05 ВС</v>
      </c>
      <c r="B594" s="2" t="str">
        <v>17:00</v>
      </c>
      <c r="C594" s="2" t="str">
        <v>КОСОВО КОСОВО</v>
      </c>
      <c r="D594" s="2" t="str">
        <v>Дрита-Дреница</v>
      </c>
      <c r="E594" s="2" t="str">
        <v>-</v>
      </c>
      <c r="F594" s="2" t="str">
        <v>-</v>
      </c>
      <c r="G594" s="2" t="str">
        <v>-</v>
      </c>
    </row>
    <row r="595">
      <c r="A595" s="2" t="str">
        <v>01/05 ВС</v>
      </c>
      <c r="B595" s="2" t="str">
        <v>17:00</v>
      </c>
      <c r="C595" s="2" t="str">
        <v>КОСОВО КОСОВО</v>
      </c>
      <c r="D595" s="2" t="str">
        <v>КФ Лапи-ФК Балканы</v>
      </c>
      <c r="E595" s="2" t="str">
        <v>-</v>
      </c>
      <c r="F595" s="2" t="str">
        <v>-</v>
      </c>
      <c r="G595" s="2" t="str">
        <v>-</v>
      </c>
    </row>
    <row r="596">
      <c r="A596" s="2" t="str">
        <v>01/05 ВС</v>
      </c>
      <c r="B596" s="2" t="str">
        <v>17:00</v>
      </c>
      <c r="C596" s="2" t="str">
        <v>КОСОВО КОСОВО</v>
      </c>
      <c r="D596" s="2" t="str">
        <v>Фероникели-Малишево</v>
      </c>
      <c r="E596" s="2" t="str">
        <v>-</v>
      </c>
      <c r="F596" s="2" t="str">
        <v>-</v>
      </c>
      <c r="G596" s="2" t="str">
        <v>-</v>
      </c>
    </row>
    <row r="597">
      <c r="A597" s="2" t="str">
        <v>01/05 ВС</v>
      </c>
      <c r="B597" s="2" t="str">
        <v>04:00</v>
      </c>
      <c r="C597" s="2" t="str">
        <v>КОСТА-РИКА КОСТА-РИКА</v>
      </c>
      <c r="D597" s="2" t="str">
        <v>Сантос де Гуапилес-Гуадалупе</v>
      </c>
      <c r="E597" s="2" t="str">
        <v>1.95</v>
      </c>
      <c r="F597" s="2" t="str">
        <v>3.40</v>
      </c>
      <c r="G597" s="2" t="str">
        <v>3.40</v>
      </c>
    </row>
    <row r="598">
      <c r="A598" s="2" t="str">
        <v>01/05 ВС</v>
      </c>
      <c r="B598" s="2" t="str">
        <v>06:00</v>
      </c>
      <c r="C598" s="2" t="str">
        <v>КОСТА-РИКА КОСТА-РИКА</v>
      </c>
      <c r="D598" s="2" t="str">
        <v>Эредиано-Картахинес</v>
      </c>
      <c r="E598" s="2" t="str">
        <v>1.72</v>
      </c>
      <c r="F598" s="2" t="str">
        <v>3.50</v>
      </c>
      <c r="G598" s="2" t="str">
        <v>4.20</v>
      </c>
    </row>
    <row r="599">
      <c r="A599" s="2" t="str">
        <v>01/05 ВС</v>
      </c>
      <c r="B599" s="2" t="str">
        <v>06:10</v>
      </c>
      <c r="C599" s="2" t="str">
        <v>КОСТА-РИКА КОСТА-РИКА</v>
      </c>
      <c r="D599" s="2" t="str">
        <v>Сан-Карлос-Греция</v>
      </c>
      <c r="E599" s="2" t="str">
        <v>2.10</v>
      </c>
      <c r="F599" s="2" t="str">
        <v>3.20</v>
      </c>
      <c r="G599" s="2" t="str">
        <v>3.25</v>
      </c>
    </row>
    <row r="600">
      <c r="A600" s="2" t="str">
        <v>01/05 ВС</v>
      </c>
      <c r="B600" s="2" t="str">
        <v>21:00</v>
      </c>
      <c r="C600" s="2" t="str">
        <v>КОСТА-РИКА КОСТА-РИКА</v>
      </c>
      <c r="D600" s="2" t="str">
        <v>Алахуэленсе-АДР Джикарал</v>
      </c>
      <c r="E600" s="2" t="str">
        <v>1.36</v>
      </c>
      <c r="F600" s="2" t="str">
        <v>4.20</v>
      </c>
      <c r="G600" s="2" t="str">
        <v>7.50</v>
      </c>
    </row>
    <row r="601">
      <c r="A601" s="2" t="str">
        <v>01/05 ВС</v>
      </c>
      <c r="B601" s="2" t="str">
        <v>05:00</v>
      </c>
      <c r="C601" s="2" t="str">
        <v>КОСТА-РИКА КОСТА-РИКА</v>
      </c>
      <c r="D601" s="2" t="str">
        <v>Пунтаренас-Санта-Ана</v>
      </c>
      <c r="E601" s="2" t="str">
        <v>-</v>
      </c>
      <c r="F601" s="2" t="str">
        <v>-</v>
      </c>
      <c r="G601" s="2" t="str">
        <v>-</v>
      </c>
    </row>
    <row r="602">
      <c r="A602" s="2" t="str">
        <v>01/05 ВС</v>
      </c>
      <c r="B602" s="2" t="str">
        <v>19:30</v>
      </c>
      <c r="C602" s="2" t="str">
        <v>КОТ-Д'ИВУАР КОТ-Д'ИВУАР</v>
      </c>
      <c r="D602" s="2" t="str">
        <v>Бассам-Бафинг</v>
      </c>
      <c r="E602" s="2" t="str">
        <v>-</v>
      </c>
      <c r="F602" s="2" t="str">
        <v>-</v>
      </c>
      <c r="G602" s="2" t="str">
        <v>-</v>
      </c>
    </row>
    <row r="603">
      <c r="A603" s="2" t="str">
        <v>01/05 ВС</v>
      </c>
      <c r="B603" s="2" t="str">
        <v>19:30</v>
      </c>
      <c r="C603" s="2" t="str">
        <v>КОТ-Д'ИВУАР КОТ-Д'ИВУАР</v>
      </c>
      <c r="D603" s="2" t="str">
        <v>Спортинг Ганьоа-Буяке</v>
      </c>
      <c r="E603" s="2" t="str">
        <v>-</v>
      </c>
      <c r="F603" s="2" t="str">
        <v>-</v>
      </c>
      <c r="G603" s="2" t="str">
        <v>-</v>
      </c>
    </row>
    <row r="604">
      <c r="A604" s="2" t="str">
        <v>01/05 ВС</v>
      </c>
      <c r="B604" s="2" t="str">
        <v>22:00</v>
      </c>
      <c r="C604" s="2" t="str">
        <v>КОТ-Д'ИВУАР КОТ-Д'ИВУАР</v>
      </c>
      <c r="D604" s="2" t="str">
        <v>АСЕК Мимосас-Лис Сасандра</v>
      </c>
      <c r="E604" s="2" t="str">
        <v>-</v>
      </c>
      <c r="F604" s="2" t="str">
        <v>-</v>
      </c>
      <c r="G604" s="2" t="str">
        <v>-</v>
      </c>
    </row>
    <row r="605" xml:space="preserve">
      <c r="A605" s="2" t="str">
        <v>01/05 ВС</v>
      </c>
      <c r="B605" s="2" t="str" xml:space="preserve">
        <v xml:space="preserve">00:00_x000d_
TKP</v>
      </c>
      <c r="C605" s="2" t="str">
        <v>КУБА КУБА</v>
      </c>
      <c r="D605" s="2" t="str">
        <v>Артемиза-FC La Habana</v>
      </c>
      <c r="E605" s="2" t="str">
        <v>-</v>
      </c>
      <c r="F605" s="2" t="str">
        <v>-</v>
      </c>
      <c r="G605" s="2" t="str">
        <v>-</v>
      </c>
    </row>
    <row r="606" xml:space="preserve">
      <c r="A606" s="2" t="str">
        <v>01/05 ВС</v>
      </c>
      <c r="B606" s="2" t="str" xml:space="preserve">
        <v xml:space="preserve">00:00_x000d_
TKP</v>
      </c>
      <c r="C606" s="2" t="str">
        <v>КУБА КУБА</v>
      </c>
      <c r="D606" s="2" t="str">
        <v>Гранма-Las Tunas</v>
      </c>
      <c r="E606" s="2" t="str">
        <v>-</v>
      </c>
      <c r="F606" s="2" t="str">
        <v>-</v>
      </c>
      <c r="G606" s="2" t="str">
        <v>-</v>
      </c>
    </row>
    <row r="607" xml:space="preserve">
      <c r="A607" s="2" t="str">
        <v>01/05 ВС</v>
      </c>
      <c r="B607" s="2" t="str" xml:space="preserve">
        <v xml:space="preserve">00:00_x000d_
TKP</v>
      </c>
      <c r="C607" s="2" t="str">
        <v>КУБА КУБА</v>
      </c>
      <c r="D607" s="2" t="str">
        <v>Гуантанамо-Камагуэй</v>
      </c>
      <c r="E607" s="2" t="str">
        <v>-</v>
      </c>
      <c r="F607" s="2" t="str">
        <v>-</v>
      </c>
      <c r="G607" s="2" t="str">
        <v>-</v>
      </c>
    </row>
    <row r="608" xml:space="preserve">
      <c r="A608" s="2" t="str">
        <v>01/05 ВС</v>
      </c>
      <c r="B608" s="2" t="str" xml:space="preserve">
        <v xml:space="preserve">00:00_x000d_
TKP</v>
      </c>
      <c r="C608" s="2" t="str">
        <v>КУБА КУБА</v>
      </c>
      <c r="D608" s="2" t="str">
        <v>Санкти Спиритус-Holguin</v>
      </c>
      <c r="E608" s="2" t="str">
        <v>-</v>
      </c>
      <c r="F608" s="2" t="str">
        <v>-</v>
      </c>
      <c r="G608" s="2" t="str">
        <v>-</v>
      </c>
    </row>
    <row r="609" xml:space="preserve">
      <c r="A609" s="2" t="str">
        <v>01/05 ВС</v>
      </c>
      <c r="B609" s="2" t="str" xml:space="preserve">
        <v xml:space="preserve">00:00_x000d_
TKP</v>
      </c>
      <c r="C609" s="2" t="str">
        <v>КУБА КУБА</v>
      </c>
      <c r="D609" s="2" t="str">
        <v>Сантьяго Куба-FC Ciego de Avila</v>
      </c>
      <c r="E609" s="2" t="str">
        <v>-</v>
      </c>
      <c r="F609" s="2" t="str">
        <v>-</v>
      </c>
      <c r="G609" s="2" t="str">
        <v>-</v>
      </c>
    </row>
    <row r="610" xml:space="preserve">
      <c r="A610" s="2" t="str">
        <v>01/05 ВС</v>
      </c>
      <c r="B610" s="2" t="str" xml:space="preserve">
        <v xml:space="preserve">00:00_x000d_
TKP</v>
      </c>
      <c r="C610" s="2" t="str">
        <v>КУБА КУБА</v>
      </c>
      <c r="D610" s="2" t="str">
        <v>Хувентуд-Mayabeque Guines</v>
      </c>
      <c r="E610" s="2" t="str">
        <v>-</v>
      </c>
      <c r="F610" s="2" t="str">
        <v>-</v>
      </c>
      <c r="G610" s="2" t="str">
        <v>-</v>
      </c>
    </row>
    <row r="611" xml:space="preserve">
      <c r="A611" s="2" t="str">
        <v>01/05 ВС</v>
      </c>
      <c r="B611" s="2" t="str" xml:space="preserve">
        <v xml:space="preserve">00:00_x000d_
TKP</v>
      </c>
      <c r="C611" s="2" t="str">
        <v>КУБА КУБА</v>
      </c>
      <c r="D611" s="2" t="str">
        <v>FC Cienfuegos-Pinar del Rio</v>
      </c>
      <c r="E611" s="2" t="str">
        <v>-</v>
      </c>
      <c r="F611" s="2" t="str">
        <v>-</v>
      </c>
      <c r="G611" s="2" t="str">
        <v>-</v>
      </c>
    </row>
    <row r="612" xml:space="preserve">
      <c r="A612" s="2" t="str">
        <v>01/05 ВС</v>
      </c>
      <c r="B612" s="2" t="str" xml:space="preserve">
        <v xml:space="preserve">00:00_x000d_
TKP</v>
      </c>
      <c r="C612" s="2" t="str">
        <v>КУБА КУБА</v>
      </c>
      <c r="D612" s="2" t="str">
        <v>Matanzas-FC Villa Clara</v>
      </c>
      <c r="E612" s="2" t="str">
        <v>-</v>
      </c>
      <c r="F612" s="2" t="str">
        <v>-</v>
      </c>
      <c r="G612" s="2" t="str">
        <v>-</v>
      </c>
    </row>
    <row r="613" xml:space="preserve">
      <c r="A613" s="2" t="str">
        <v>01/05 ВС</v>
      </c>
      <c r="B613" s="2" t="str" xml:space="preserve">
        <v xml:space="preserve">03:00_x000d_
TKP</v>
      </c>
      <c r="C613" s="2" t="str">
        <v>КЮРАСАО КЮРАСАО</v>
      </c>
      <c r="D613" s="2" t="str">
        <v>СУБТ-Виллемстад</v>
      </c>
      <c r="E613" s="2" t="str">
        <v>-</v>
      </c>
      <c r="F613" s="2" t="str">
        <v>-</v>
      </c>
      <c r="G613" s="2" t="str">
        <v>-</v>
      </c>
    </row>
    <row r="614" xml:space="preserve">
      <c r="A614" s="2" t="str">
        <v>01/05 ВС</v>
      </c>
      <c r="B614" s="2" t="str" xml:space="preserve">
        <v xml:space="preserve">04:00_x000d_
TKP</v>
      </c>
      <c r="C614" s="2" t="str">
        <v>КЮРАСАО КЮРАСАО</v>
      </c>
      <c r="D614" s="2" t="str">
        <v>Виктори Бойз-Йонг Холланд</v>
      </c>
      <c r="E614" s="2" t="str">
        <v>-</v>
      </c>
      <c r="F614" s="2" t="str">
        <v>-</v>
      </c>
      <c r="G614" s="2" t="str">
        <v>-</v>
      </c>
    </row>
    <row r="615" xml:space="preserve">
      <c r="A615" s="2" t="str">
        <v>01/05 ВС</v>
      </c>
      <c r="B615" s="2" t="str" xml:space="preserve">
        <v xml:space="preserve">05:15_x000d_
TKP</v>
      </c>
      <c r="C615" s="2" t="str">
        <v>КЮРАСАО КЮРАСАО</v>
      </c>
      <c r="D615" s="2" t="str">
        <v>Центро Домингито-Барбер</v>
      </c>
      <c r="E615" s="2" t="str">
        <v>-</v>
      </c>
      <c r="F615" s="2" t="str">
        <v>-</v>
      </c>
      <c r="G615" s="2" t="str">
        <v>-</v>
      </c>
    </row>
    <row r="616">
      <c r="A616" s="2" t="str">
        <v>01/05 ВС</v>
      </c>
      <c r="B616" s="2" t="str">
        <v>15:00</v>
      </c>
      <c r="C616" s="2" t="str">
        <v>ЛАТВИЯ ЛАТВИЯ</v>
      </c>
      <c r="D616" s="2" t="str">
        <v>Валмиера-ФК Рига</v>
      </c>
      <c r="E616" s="2" t="str">
        <v>-</v>
      </c>
      <c r="F616" s="2" t="str">
        <v>-</v>
      </c>
      <c r="G616" s="2" t="str">
        <v>-</v>
      </c>
    </row>
    <row r="617">
      <c r="A617" s="2" t="str">
        <v>01/05 ВС</v>
      </c>
      <c r="B617" s="2" t="str">
        <v>17:00</v>
      </c>
      <c r="C617" s="2" t="str">
        <v>ЛАТВИЯ ЛАТВИЯ</v>
      </c>
      <c r="D617" s="2" t="str">
        <v>РФШ-Спартакс</v>
      </c>
      <c r="E617" s="2" t="str">
        <v>-</v>
      </c>
      <c r="F617" s="2" t="str">
        <v>-</v>
      </c>
      <c r="G617" s="2" t="str">
        <v>-</v>
      </c>
    </row>
    <row r="618">
      <c r="A618" s="2" t="str">
        <v>01/05 ВС</v>
      </c>
      <c r="B618" s="2" t="str">
        <v>14:00</v>
      </c>
      <c r="C618" s="2" t="str">
        <v>ЛАТВИЯ ЛАТВИЯ</v>
      </c>
      <c r="D618" s="2" t="str">
        <v>Тукумс 2000 2-АФА Олайне</v>
      </c>
      <c r="E618" s="2" t="str">
        <v>-</v>
      </c>
      <c r="F618" s="2" t="str">
        <v>-</v>
      </c>
      <c r="G618" s="2" t="str">
        <v>-</v>
      </c>
    </row>
    <row r="619">
      <c r="A619" s="2" t="str">
        <v>01/05 ВС</v>
      </c>
      <c r="B619" s="2" t="str">
        <v>16:00</v>
      </c>
      <c r="C619" s="2" t="str">
        <v>ЛАТВИЯ ЛАТВИЯ</v>
      </c>
      <c r="D619" s="2" t="str">
        <v>Елгава-Гробина</v>
      </c>
      <c r="E619" s="2" t="str">
        <v>-</v>
      </c>
      <c r="F619" s="2" t="str">
        <v>-</v>
      </c>
      <c r="G619" s="2" t="str">
        <v>-</v>
      </c>
    </row>
    <row r="620" xml:space="preserve">
      <c r="A620" s="2" t="str">
        <v>01/05 ВС</v>
      </c>
      <c r="B620" s="2" t="str" xml:space="preserve">
        <v xml:space="preserve">17:00_x000d_
TKP</v>
      </c>
      <c r="C620" s="2" t="str">
        <v>ЛЕСОТО ЛЕСОТО</v>
      </c>
      <c r="D620" s="2" t="str">
        <v>CCX-Маноняне</v>
      </c>
      <c r="E620" s="2" t="str">
        <v>-</v>
      </c>
      <c r="F620" s="2" t="str">
        <v>-</v>
      </c>
      <c r="G620" s="2" t="str">
        <v>-</v>
      </c>
    </row>
    <row r="621" xml:space="preserve">
      <c r="A621" s="2" t="str">
        <v>01/05 ВС</v>
      </c>
      <c r="B621" s="2" t="str" xml:space="preserve">
        <v xml:space="preserve">17:00_x000d_
TKP</v>
      </c>
      <c r="C621" s="2" t="str">
        <v>ЛЕСОТО ЛЕСОТО</v>
      </c>
      <c r="D621" s="2" t="str">
        <v>Лайоли-Банту</v>
      </c>
      <c r="E621" s="2" t="str">
        <v>-</v>
      </c>
      <c r="F621" s="2" t="str">
        <v>-</v>
      </c>
      <c r="G621" s="2" t="str">
        <v>-</v>
      </c>
    </row>
    <row r="622" xml:space="preserve">
      <c r="A622" s="2" t="str">
        <v>01/05 ВС</v>
      </c>
      <c r="B622" s="2" t="str" xml:space="preserve">
        <v xml:space="preserve">17:00_x000d_
TKP</v>
      </c>
      <c r="C622" s="2" t="str">
        <v>ЛЕСОТО ЛЕСОТО</v>
      </c>
      <c r="D622" s="2" t="str">
        <v>Линаре-Матлама</v>
      </c>
      <c r="E622" s="2" t="str">
        <v>-</v>
      </c>
      <c r="F622" s="2" t="str">
        <v>-</v>
      </c>
      <c r="G622" s="2" t="str">
        <v>-</v>
      </c>
    </row>
    <row r="623" xml:space="preserve">
      <c r="A623" s="2" t="str">
        <v>01/05 ВС</v>
      </c>
      <c r="B623" s="2" t="str" xml:space="preserve">
        <v xml:space="preserve">17:00_x000d_
TKP</v>
      </c>
      <c r="C623" s="2" t="str">
        <v>ЛЕСОТО ЛЕСОТО</v>
      </c>
      <c r="D623" s="2" t="str">
        <v>ЛМПС-ЛСС</v>
      </c>
      <c r="E623" s="2" t="str">
        <v>-</v>
      </c>
      <c r="F623" s="2" t="str">
        <v>-</v>
      </c>
      <c r="G623" s="2" t="str">
        <v>-</v>
      </c>
    </row>
    <row r="624" xml:space="preserve">
      <c r="A624" s="2" t="str">
        <v>01/05 ВС</v>
      </c>
      <c r="B624" s="2" t="str" xml:space="preserve">
        <v xml:space="preserve">20:00_x000d_
TKP</v>
      </c>
      <c r="C624" s="2" t="str">
        <v>ЛИБЕРИЯ ЛИБЕРИЯ</v>
      </c>
      <c r="D624" s="2" t="str">
        <v>Инвинсибл Элевен-МК Брюуэрис</v>
      </c>
      <c r="E624" s="2" t="str">
        <v>-</v>
      </c>
      <c r="F624" s="2" t="str">
        <v>-</v>
      </c>
      <c r="G624" s="2" t="str">
        <v>-</v>
      </c>
    </row>
    <row r="625">
      <c r="A625" s="2" t="str">
        <v>01/05 ВС</v>
      </c>
      <c r="B625" s="2" t="str">
        <v>16:00</v>
      </c>
      <c r="C625" s="2" t="str">
        <v>ЛИТВА ЛИТВА</v>
      </c>
      <c r="D625" s="2" t="str">
        <v>Банга-Судува</v>
      </c>
      <c r="E625" s="2" t="str">
        <v>-</v>
      </c>
      <c r="F625" s="2" t="str">
        <v>-</v>
      </c>
      <c r="G625" s="2" t="str">
        <v>-</v>
      </c>
    </row>
    <row r="626">
      <c r="A626" s="2" t="str">
        <v>01/05 ВС</v>
      </c>
      <c r="B626" s="2" t="str">
        <v>18:30</v>
      </c>
      <c r="C626" s="2" t="str">
        <v>ЛИТВА ЛИТВА</v>
      </c>
      <c r="D626" s="2" t="str">
        <v>Ритеряй-Джюгас Тельшяй</v>
      </c>
      <c r="E626" s="2" t="str">
        <v>-</v>
      </c>
      <c r="F626" s="2" t="str">
        <v>-</v>
      </c>
      <c r="G626" s="2" t="str">
        <v>-</v>
      </c>
    </row>
    <row r="627">
      <c r="A627" s="2" t="str">
        <v>01/05 ВС</v>
      </c>
      <c r="B627" s="2" t="str">
        <v>13:00</v>
      </c>
      <c r="C627" s="2" t="str">
        <v>ЛИТВА ЛИТВА</v>
      </c>
      <c r="D627" s="2" t="str">
        <v>BE1 NFA-БФА Вильнюс</v>
      </c>
      <c r="E627" s="2" t="str">
        <v>-</v>
      </c>
      <c r="F627" s="2" t="str">
        <v>-</v>
      </c>
      <c r="G627" s="2" t="str">
        <v>-</v>
      </c>
    </row>
    <row r="628">
      <c r="A628" s="2" t="str">
        <v>01/05 ВС</v>
      </c>
      <c r="B628" s="2" t="str">
        <v>16:00</v>
      </c>
      <c r="C628" s="2" t="str">
        <v>ЛИТВА ЛИТВА</v>
      </c>
      <c r="D628" s="2" t="str">
        <v>Паневежис 2-Атмосфера</v>
      </c>
      <c r="E628" s="2" t="str">
        <v>-</v>
      </c>
      <c r="F628" s="2" t="str">
        <v>-</v>
      </c>
      <c r="G628" s="2" t="str">
        <v>-</v>
      </c>
    </row>
    <row r="629">
      <c r="A629" s="2" t="str">
        <v>01/05 ВС</v>
      </c>
      <c r="B629" s="2" t="str">
        <v>16:00</v>
      </c>
      <c r="C629" s="2" t="str">
        <v>ЛИТВА ЛИТВА</v>
      </c>
      <c r="D629" s="2" t="str">
        <v>Шауляй 2-Экранас</v>
      </c>
      <c r="E629" s="2" t="str">
        <v>-</v>
      </c>
      <c r="F629" s="2" t="str">
        <v>-</v>
      </c>
      <c r="G629" s="2" t="str">
        <v>-</v>
      </c>
    </row>
    <row r="630">
      <c r="A630" s="2" t="str">
        <v>01/05 ВС</v>
      </c>
      <c r="B630" s="2" t="str">
        <v>18:00</v>
      </c>
      <c r="C630" s="2" t="str">
        <v>ЛЮКСЕМБУРГ ЛЮКСЕМБУРГ</v>
      </c>
      <c r="D630" s="2" t="str">
        <v>Вильц-Роданж</v>
      </c>
      <c r="E630" s="2" t="str">
        <v>-</v>
      </c>
      <c r="F630" s="2" t="str">
        <v>-</v>
      </c>
      <c r="G630" s="2" t="str">
        <v>-</v>
      </c>
    </row>
    <row r="631">
      <c r="A631" s="2" t="str">
        <v>01/05 ВС</v>
      </c>
      <c r="B631" s="2" t="str">
        <v>18:00</v>
      </c>
      <c r="C631" s="2" t="str">
        <v>ЛЮКСЕМБУРГ ЛЮКСЕМБУРГ</v>
      </c>
      <c r="D631" s="2" t="str">
        <v>Дюделанж-Эсперанж</v>
      </c>
      <c r="E631" s="2" t="str">
        <v>-</v>
      </c>
      <c r="F631" s="2" t="str">
        <v>-</v>
      </c>
      <c r="G631" s="2" t="str">
        <v>-</v>
      </c>
    </row>
    <row r="632">
      <c r="A632" s="2" t="str">
        <v>01/05 ВС</v>
      </c>
      <c r="B632" s="2" t="str">
        <v>18:00</v>
      </c>
      <c r="C632" s="2" t="str">
        <v>ЛЮКСЕМБУРГ ЛЮКСЕМБУРГ</v>
      </c>
      <c r="D632" s="2" t="str">
        <v>Женесс-УНА Штрассен</v>
      </c>
      <c r="E632" s="2" t="str">
        <v>-</v>
      </c>
      <c r="F632" s="2" t="str">
        <v>-</v>
      </c>
      <c r="G632" s="2" t="str">
        <v>-</v>
      </c>
    </row>
    <row r="633">
      <c r="A633" s="2" t="str">
        <v>01/05 ВС</v>
      </c>
      <c r="B633" s="2" t="str">
        <v>18:00</v>
      </c>
      <c r="C633" s="2" t="str">
        <v>ЛЮКСЕМБУРГ ЛЮКСЕМБУРГ</v>
      </c>
      <c r="D633" s="2" t="str">
        <v>Мондорф-Этцелла</v>
      </c>
      <c r="E633" s="2" t="str">
        <v>-</v>
      </c>
      <c r="F633" s="2" t="str">
        <v>-</v>
      </c>
      <c r="G633" s="2" t="str">
        <v>-</v>
      </c>
    </row>
    <row r="634">
      <c r="A634" s="2" t="str">
        <v>01/05 ВС</v>
      </c>
      <c r="B634" s="2" t="str">
        <v>18:00</v>
      </c>
      <c r="C634" s="2" t="str">
        <v>ЛЮКСЕМБУРГ ЛЮКСЕМБУРГ</v>
      </c>
      <c r="D634" s="2" t="str">
        <v>Прогрес Нидеркорн-Бенфика</v>
      </c>
      <c r="E634" s="2" t="str">
        <v>-</v>
      </c>
      <c r="F634" s="2" t="str">
        <v>-</v>
      </c>
      <c r="G634" s="2" t="str">
        <v>-</v>
      </c>
    </row>
    <row r="635">
      <c r="A635" s="2" t="str">
        <v>01/05 ВС</v>
      </c>
      <c r="B635" s="2" t="str">
        <v>18:00</v>
      </c>
      <c r="C635" s="2" t="str">
        <v>ЛЮКСЕМБУРГ ЛЮКСЕМБУРГ</v>
      </c>
      <c r="D635" s="2" t="str">
        <v>Унион Титус-Дифферданж</v>
      </c>
      <c r="E635" s="2" t="str">
        <v>-</v>
      </c>
      <c r="F635" s="2" t="str">
        <v>-</v>
      </c>
      <c r="G635" s="2" t="str">
        <v>-</v>
      </c>
    </row>
    <row r="636">
      <c r="A636" s="2" t="str">
        <v>01/05 ВС</v>
      </c>
      <c r="B636" s="2" t="str">
        <v>18:00</v>
      </c>
      <c r="C636" s="2" t="str">
        <v>ЛЮКСЕМБУРГ ЛЮКСЕМБУРГ</v>
      </c>
      <c r="D636" s="2" t="str">
        <v>Хостерт-Фола</v>
      </c>
      <c r="E636" s="2" t="str">
        <v>-</v>
      </c>
      <c r="F636" s="2" t="str">
        <v>-</v>
      </c>
      <c r="G636" s="2" t="str">
        <v>-</v>
      </c>
    </row>
    <row r="637">
      <c r="A637" s="2" t="str">
        <v>01/05 ВС</v>
      </c>
      <c r="B637" s="2" t="str">
        <v>14:00</v>
      </c>
      <c r="C637" s="2" t="str">
        <v>МАКАО МАКАО</v>
      </c>
      <c r="D637" s="2" t="str">
        <v>CFB Macau-Лунь Лок</v>
      </c>
      <c r="E637" s="2" t="str">
        <v>-</v>
      </c>
      <c r="F637" s="2" t="str">
        <v>-</v>
      </c>
      <c r="G637" s="2" t="str">
        <v>-</v>
      </c>
    </row>
    <row r="638">
      <c r="A638" s="2" t="str">
        <v>01/05 ВС</v>
      </c>
      <c r="B638" s="2" t="str">
        <v>16:00</v>
      </c>
      <c r="C638" s="2" t="str">
        <v>МАКАО МАКАО</v>
      </c>
      <c r="D638" s="2" t="str">
        <v>Монте-Карло-Каса де Португал</v>
      </c>
      <c r="E638" s="2" t="str">
        <v>-</v>
      </c>
      <c r="F638" s="2" t="str">
        <v>-</v>
      </c>
      <c r="G638" s="2" t="str">
        <v>-</v>
      </c>
    </row>
    <row r="639">
      <c r="A639" s="2" t="str">
        <v>01/05 ВС</v>
      </c>
      <c r="B639" s="2" t="str">
        <v>16:30</v>
      </c>
      <c r="C639" s="2" t="str">
        <v>МАЛАВИ МАЛАВИ</v>
      </c>
      <c r="D639" s="2" t="str">
        <v>Биг Буллетс-Румфи Юнайтед</v>
      </c>
      <c r="E639" s="2" t="str">
        <v>-</v>
      </c>
      <c r="F639" s="2" t="str">
        <v>-</v>
      </c>
      <c r="G639" s="2" t="str">
        <v>-</v>
      </c>
    </row>
    <row r="640">
      <c r="A640" s="2" t="str">
        <v>01/05 ВС</v>
      </c>
      <c r="B640" s="2" t="str">
        <v>Перенесен</v>
      </c>
      <c r="C640" s="2" t="str">
        <v>МАЛАВИ МАЛАВИ</v>
      </c>
      <c r="D640" s="2" t="str">
        <v>Каронга Юнайтед-Майти Тайгерс</v>
      </c>
      <c r="E640" s="2" t="str">
        <v>-</v>
      </c>
      <c r="F640" s="2" t="str">
        <v>-</v>
      </c>
      <c r="G640" s="2" t="str">
        <v>-</v>
      </c>
    </row>
    <row r="641">
      <c r="A641" s="2" t="str">
        <v>01/05 ВС</v>
      </c>
      <c r="B641" s="2" t="str">
        <v>16:30</v>
      </c>
      <c r="C641" s="2" t="str">
        <v>МАЛАВИ МАЛАВИ</v>
      </c>
      <c r="D641" s="2" t="str">
        <v>Каронга Юнайтед-МАФКО</v>
      </c>
      <c r="E641" s="2" t="str">
        <v>-</v>
      </c>
      <c r="F641" s="2" t="str">
        <v>-</v>
      </c>
      <c r="G641" s="2" t="str">
        <v>-</v>
      </c>
    </row>
    <row r="642">
      <c r="A642" s="2" t="str">
        <v>01/05 ВС</v>
      </c>
      <c r="B642" s="2" t="str">
        <v>Перенесен</v>
      </c>
      <c r="C642" s="2" t="str">
        <v>МАЛАВИ МАЛАВИ</v>
      </c>
      <c r="D642" s="2" t="str">
        <v>Мояле Барракс-Дедза Динамос</v>
      </c>
      <c r="E642" s="2" t="str">
        <v>-</v>
      </c>
      <c r="F642" s="2" t="str">
        <v>-</v>
      </c>
      <c r="G642" s="2" t="str">
        <v>-</v>
      </c>
    </row>
    <row r="643">
      <c r="A643" s="2" t="str">
        <v>01/05 ВС</v>
      </c>
      <c r="B643" s="2" t="str">
        <v>16:30</v>
      </c>
      <c r="C643" s="2" t="str">
        <v>МАЛАВИ МАЛАВИ</v>
      </c>
      <c r="D643" s="2" t="str">
        <v>СИВО Юнайтед-Камудзу Барракс</v>
      </c>
      <c r="E643" s="2" t="str">
        <v>-</v>
      </c>
      <c r="F643" s="2" t="str">
        <v>-</v>
      </c>
      <c r="G643" s="2" t="str">
        <v>-</v>
      </c>
    </row>
    <row r="644">
      <c r="A644" s="2" t="str">
        <v>01/05 ВС</v>
      </c>
      <c r="B644" s="2" t="str">
        <v>Перенесен</v>
      </c>
      <c r="C644" s="2" t="str">
        <v>МАЛАВИ МАЛАВИ</v>
      </c>
      <c r="D644" s="2" t="str">
        <v>СИВО Юнайтед-ТН Старс</v>
      </c>
      <c r="E644" s="2" t="str">
        <v>-</v>
      </c>
      <c r="F644" s="2" t="str">
        <v>-</v>
      </c>
      <c r="G644" s="2" t="str">
        <v>-</v>
      </c>
    </row>
    <row r="645">
      <c r="A645" s="2" t="str">
        <v>01/05 ВС</v>
      </c>
      <c r="B645" s="2" t="str">
        <v>16:30</v>
      </c>
      <c r="C645" s="2" t="str">
        <v>МАЛАВИ МАЛАВИ</v>
      </c>
      <c r="D645" s="2" t="str">
        <v>Эквендени Хаммерс-Мояле Барракс</v>
      </c>
      <c r="E645" s="2" t="str">
        <v>-</v>
      </c>
      <c r="F645" s="2" t="str">
        <v>-</v>
      </c>
      <c r="G645" s="2" t="str">
        <v>-</v>
      </c>
    </row>
    <row r="646">
      <c r="A646" s="2" t="str">
        <v>01/05 ВС</v>
      </c>
      <c r="B646" s="2" t="str">
        <v>18:00</v>
      </c>
      <c r="C646" s="2" t="str">
        <v>МАЛЬТА МАЛЬТА</v>
      </c>
      <c r="D646" s="2" t="str">
        <v>Санта-Люсия-Слима</v>
      </c>
      <c r="E646" s="2" t="str">
        <v>-</v>
      </c>
      <c r="F646" s="2" t="str">
        <v>-</v>
      </c>
      <c r="G646" s="2" t="str">
        <v>-</v>
      </c>
    </row>
    <row r="647">
      <c r="A647" s="2" t="str">
        <v>01/05 ВС</v>
      </c>
      <c r="B647" s="2" t="str">
        <v>17:00</v>
      </c>
      <c r="C647" s="2" t="str">
        <v>МАЛЬТА МАЛЬТА</v>
      </c>
      <c r="D647" s="2" t="str">
        <v>Хибернианс-Биркиркара</v>
      </c>
      <c r="E647" s="2" t="str">
        <v>-</v>
      </c>
      <c r="F647" s="2" t="str">
        <v>-</v>
      </c>
      <c r="G647" s="2" t="str">
        <v>-</v>
      </c>
    </row>
    <row r="648">
      <c r="A648" s="2" t="str">
        <v>01/05 ВС</v>
      </c>
      <c r="B648" s="2" t="str">
        <v>20:15</v>
      </c>
      <c r="C648" s="2" t="str">
        <v>МАЛЬТА МАЛЬТА</v>
      </c>
      <c r="D648" s="2" t="str">
        <v>Гзира-Гуджа</v>
      </c>
      <c r="E648" s="2" t="str">
        <v>-</v>
      </c>
      <c r="F648" s="2" t="str">
        <v>-</v>
      </c>
      <c r="G648" s="2" t="str">
        <v>-</v>
      </c>
    </row>
    <row r="649">
      <c r="A649" s="2" t="str">
        <v>01/05 ВС</v>
      </c>
      <c r="B649" s="2" t="str">
        <v>02:00</v>
      </c>
      <c r="C649" s="2" t="str">
        <v>МАРОККО МАРОККО</v>
      </c>
      <c r="D649" s="2" t="str">
        <v>Беркан-Jeunesse Sportive Soualem</v>
      </c>
      <c r="E649" s="2" t="str">
        <v>1.66</v>
      </c>
      <c r="F649" s="2" t="str">
        <v>3.10</v>
      </c>
      <c r="G649" s="2" t="str">
        <v>5.25</v>
      </c>
    </row>
    <row r="650">
      <c r="A650" s="2" t="str">
        <v>01/05 ВС</v>
      </c>
      <c r="B650" s="2" t="str">
        <v>02:00</v>
      </c>
      <c r="C650" s="2" t="str">
        <v>МЕКСИКА МЕКСИКА</v>
      </c>
      <c r="D650" s="2" t="str">
        <v>Керетаро-Хуарес</v>
      </c>
      <c r="E650" s="2" t="str">
        <v>1.80</v>
      </c>
      <c r="F650" s="2" t="str">
        <v>3.30</v>
      </c>
      <c r="G650" s="2" t="str">
        <v>5.00</v>
      </c>
    </row>
    <row r="651">
      <c r="A651" s="2" t="str">
        <v>01/05 ВС</v>
      </c>
      <c r="B651" s="2" t="str">
        <v>04:00</v>
      </c>
      <c r="C651" s="2" t="str">
        <v>МЕКСИКА МЕКСИКА</v>
      </c>
      <c r="D651" s="2" t="str">
        <v>Атлас-Тигрес</v>
      </c>
      <c r="E651" s="2" t="str">
        <v>2.25</v>
      </c>
      <c r="F651" s="2" t="str">
        <v>3.10</v>
      </c>
      <c r="G651" s="2" t="str">
        <v>3.50</v>
      </c>
    </row>
    <row r="652">
      <c r="A652" s="2" t="str">
        <v>01/05 ВС</v>
      </c>
      <c r="B652" s="2" t="str">
        <v>04:06</v>
      </c>
      <c r="C652" s="2" t="str">
        <v>МЕКСИКА МЕКСИКА</v>
      </c>
      <c r="D652" s="2" t="str">
        <v>Монтеррей-Тихуана</v>
      </c>
      <c r="E652" s="2" t="str">
        <v>1.53</v>
      </c>
      <c r="F652" s="2" t="str">
        <v>4.00</v>
      </c>
      <c r="G652" s="2" t="str">
        <v>6.50</v>
      </c>
    </row>
    <row r="653">
      <c r="A653" s="2" t="str">
        <v>01/05 ВС</v>
      </c>
      <c r="B653" s="2" t="str">
        <v>06:00</v>
      </c>
      <c r="C653" s="2" t="str">
        <v>МЕКСИКА МЕКСИКА</v>
      </c>
      <c r="D653" s="2" t="str">
        <v>Америка-Крус Асуль</v>
      </c>
      <c r="E653" s="2" t="str">
        <v>1.80</v>
      </c>
      <c r="F653" s="2" t="str">
        <v>3.60</v>
      </c>
      <c r="G653" s="2" t="str">
        <v>4.50</v>
      </c>
    </row>
    <row r="654">
      <c r="A654" s="2" t="str">
        <v>01/05 ВС</v>
      </c>
      <c r="B654" s="2" t="str">
        <v>21:00</v>
      </c>
      <c r="C654" s="2" t="str">
        <v>МЕКСИКА МЕКСИКА</v>
      </c>
      <c r="D654" s="2" t="str">
        <v>Пумас-Пачука</v>
      </c>
      <c r="E654" s="2" t="str">
        <v>2.90</v>
      </c>
      <c r="F654" s="2" t="str">
        <v>3.25</v>
      </c>
      <c r="G654" s="2" t="str">
        <v>2.50</v>
      </c>
    </row>
    <row r="655">
      <c r="A655" s="2" t="str">
        <v>01/05 ВС</v>
      </c>
      <c r="B655" s="2" t="str">
        <v>02:00</v>
      </c>
      <c r="C655" s="2" t="str">
        <v>МЕКСИКА МЕКСИКА</v>
      </c>
      <c r="D655" s="2" t="str">
        <v>Алебрихес де Оахака-Симарронес Сонора</v>
      </c>
      <c r="E655" s="2" t="str">
        <v>-</v>
      </c>
      <c r="F655" s="2" t="str">
        <v>-</v>
      </c>
      <c r="G655" s="2" t="str">
        <v>-</v>
      </c>
    </row>
    <row r="656" xml:space="preserve">
      <c r="A656" s="2" t="str">
        <v>01/05 ВС</v>
      </c>
      <c r="B656" s="2" t="str" xml:space="preserve">
        <v xml:space="preserve">01:00_x000d_
TKP</v>
      </c>
      <c r="C656" s="2" t="str">
        <v>МЕКСИКА МЕКСИКА</v>
      </c>
      <c r="D656" s="2" t="str">
        <v>Интер Плайя-дель-Кармен-Кафеталерос</v>
      </c>
      <c r="E656" s="2" t="str">
        <v>-</v>
      </c>
      <c r="F656" s="2" t="str">
        <v>-</v>
      </c>
      <c r="G656" s="2" t="str">
        <v>-</v>
      </c>
    </row>
    <row r="657" xml:space="preserve">
      <c r="A657" s="2" t="str">
        <v>01/05 ВС</v>
      </c>
      <c r="B657" s="2" t="str" xml:space="preserve">
        <v xml:space="preserve">02:30_x000d_
TKP</v>
      </c>
      <c r="C657" s="2" t="str">
        <v>МЕКСИКА МЕКСИКА</v>
      </c>
      <c r="D657" s="2" t="str">
        <v>Мазоркьерос-Тритонес Вальярта</v>
      </c>
      <c r="E657" s="2" t="str">
        <v>-</v>
      </c>
      <c r="F657" s="2" t="str">
        <v>-</v>
      </c>
      <c r="G657" s="2" t="str">
        <v>-</v>
      </c>
    </row>
    <row r="658" xml:space="preserve">
      <c r="A658" s="2" t="str">
        <v>01/05 ВС</v>
      </c>
      <c r="B658" s="2" t="str" xml:space="preserve">
        <v xml:space="preserve">01:00_x000d_
TKP</v>
      </c>
      <c r="C658" s="2" t="str">
        <v>МЕКСИКА МЕКСИКА</v>
      </c>
      <c r="D658" s="2" t="str">
        <v>Ураканес-Алебрихес де Оахака 2</v>
      </c>
      <c r="E658" s="2" t="str">
        <v>-</v>
      </c>
      <c r="F658" s="2" t="str">
        <v>-</v>
      </c>
      <c r="G658" s="2" t="str">
        <v>-</v>
      </c>
    </row>
    <row r="659" xml:space="preserve">
      <c r="A659" s="2" t="str">
        <v>01/05 ВС</v>
      </c>
      <c r="B659" s="2" t="str" xml:space="preserve">
        <v xml:space="preserve">18:00_x000d_
TKP</v>
      </c>
      <c r="C659" s="2" t="str">
        <v>МЕКСИКА МЕКСИКА</v>
      </c>
      <c r="D659" s="2" t="str">
        <v>Атлетико Сан-Луис U20-Сантос Лагуна U20</v>
      </c>
      <c r="E659" s="2" t="str">
        <v>-</v>
      </c>
      <c r="F659" s="2" t="str">
        <v>-</v>
      </c>
      <c r="G659" s="2" t="str">
        <v>-</v>
      </c>
    </row>
    <row r="660" xml:space="preserve">
      <c r="A660" s="2" t="str">
        <v>01/05 ВС</v>
      </c>
      <c r="B660" s="2" t="str" xml:space="preserve">
        <v xml:space="preserve">18:00_x000d_
TKP</v>
      </c>
      <c r="C660" s="2" t="str">
        <v>МЕКСИКА МЕКСИКА</v>
      </c>
      <c r="D660" s="2" t="str">
        <v>Клуб Леон U20-Толука U20</v>
      </c>
      <c r="E660" s="2" t="str">
        <v>-</v>
      </c>
      <c r="F660" s="2" t="str">
        <v>-</v>
      </c>
      <c r="G660" s="2" t="str">
        <v>-</v>
      </c>
    </row>
    <row r="661" xml:space="preserve">
      <c r="A661" s="2" t="str">
        <v>01/05 ВС</v>
      </c>
      <c r="B661" s="2" t="str" xml:space="preserve">
        <v xml:space="preserve">18:00_x000d_
TKP</v>
      </c>
      <c r="C661" s="2" t="str">
        <v>МЕКСИКА МЕКСИКА</v>
      </c>
      <c r="D661" s="2" t="str">
        <v>Пумас U20-Пачука U20</v>
      </c>
      <c r="E661" s="2" t="str">
        <v>-</v>
      </c>
      <c r="F661" s="2" t="str">
        <v>-</v>
      </c>
      <c r="G661" s="2" t="str">
        <v>-</v>
      </c>
    </row>
    <row r="662">
      <c r="A662" s="2" t="str">
        <v>01/05 ВС</v>
      </c>
      <c r="B662" s="2" t="str">
        <v>04:00</v>
      </c>
      <c r="C662" s="2" t="str">
        <v>МЕКСИКА МЕКСИКА</v>
      </c>
      <c r="D662" s="2" t="str">
        <v>Пачука (Ж)-Некакса (Ж)</v>
      </c>
      <c r="E662" s="2" t="str">
        <v>-</v>
      </c>
      <c r="F662" s="2" t="str">
        <v>-</v>
      </c>
      <c r="G662" s="2" t="str">
        <v>-</v>
      </c>
    </row>
    <row r="663">
      <c r="A663" s="2" t="str">
        <v>01/05 ВС</v>
      </c>
      <c r="B663" s="2" t="str">
        <v>13:00</v>
      </c>
      <c r="C663" s="2" t="str">
        <v>МОНГОЛИЯ МОНГОЛИЯ</v>
      </c>
      <c r="D663" s="2" t="str">
        <v>Ховд-Лайонс</v>
      </c>
      <c r="E663" s="2" t="str">
        <v>-</v>
      </c>
      <c r="F663" s="2" t="str">
        <v>-</v>
      </c>
      <c r="G663" s="2" t="str">
        <v>-</v>
      </c>
    </row>
    <row r="664">
      <c r="A664" s="2" t="str">
        <v>01/05 ВС</v>
      </c>
      <c r="B664" s="2" t="str">
        <v>16:00</v>
      </c>
      <c r="C664" s="2" t="str">
        <v>МОНГОЛИЯ МОНГОЛИЯ</v>
      </c>
      <c r="D664" s="2" t="str">
        <v>ФК Улан-Батор-Тув Буганууд</v>
      </c>
      <c r="E664" s="2" t="str">
        <v>-</v>
      </c>
      <c r="F664" s="2" t="str">
        <v>-</v>
      </c>
      <c r="G664" s="2" t="str">
        <v>-</v>
      </c>
    </row>
    <row r="665">
      <c r="A665" s="2" t="str">
        <v>01/05 ВС</v>
      </c>
      <c r="B665" s="2" t="str">
        <v>19:00</v>
      </c>
      <c r="C665" s="2" t="str">
        <v>НИГЕРИЯ НИГЕРИЯ</v>
      </c>
      <c r="D665" s="2" t="str">
        <v>Катсина Юнайтед-Аква</v>
      </c>
      <c r="E665" s="2" t="str">
        <v>-</v>
      </c>
      <c r="F665" s="2" t="str">
        <v>-</v>
      </c>
      <c r="G665" s="2" t="str">
        <v>-</v>
      </c>
    </row>
    <row r="666">
      <c r="A666" s="2" t="str">
        <v>01/05 ВС</v>
      </c>
      <c r="B666" s="2" t="str">
        <v>19:00</v>
      </c>
      <c r="C666" s="2" t="str">
        <v>НИГЕРИЯ НИГЕРИЯ</v>
      </c>
      <c r="D666" s="2" t="str">
        <v>Квара-Риверс Юнайтед</v>
      </c>
      <c r="E666" s="2" t="str">
        <v>-</v>
      </c>
      <c r="F666" s="2" t="str">
        <v>-</v>
      </c>
      <c r="G666" s="2" t="str">
        <v>-</v>
      </c>
    </row>
    <row r="667">
      <c r="A667" s="2" t="str">
        <v>01/05 ВС</v>
      </c>
      <c r="B667" s="2" t="str">
        <v>19:00</v>
      </c>
      <c r="C667" s="2" t="str">
        <v>НИГЕРИЯ НИГЕРИЯ</v>
      </c>
      <c r="D667" s="2" t="str">
        <v>Лоби Старс-Насарава</v>
      </c>
      <c r="E667" s="2" t="str">
        <v>-</v>
      </c>
      <c r="F667" s="2" t="str">
        <v>-</v>
      </c>
      <c r="G667" s="2" t="str">
        <v>-</v>
      </c>
    </row>
    <row r="668">
      <c r="A668" s="2" t="str">
        <v>01/05 ВС</v>
      </c>
      <c r="B668" s="2" t="str">
        <v>19:00</v>
      </c>
      <c r="C668" s="2" t="str">
        <v>НИГЕРИЯ НИГЕРИЯ</v>
      </c>
      <c r="D668" s="2" t="str">
        <v>МФМ-Энугу</v>
      </c>
      <c r="E668" s="2" t="str">
        <v>-</v>
      </c>
      <c r="F668" s="2" t="str">
        <v>-</v>
      </c>
      <c r="G668" s="2" t="str">
        <v>-</v>
      </c>
    </row>
    <row r="669">
      <c r="A669" s="2" t="str">
        <v>01/05 ВС</v>
      </c>
      <c r="B669" s="2" t="str">
        <v>19:00</v>
      </c>
      <c r="C669" s="2" t="str">
        <v>НИГЕРИЯ НИГЕРИЯ</v>
      </c>
      <c r="D669" s="2" t="str">
        <v>Ремо Старс-Викки</v>
      </c>
      <c r="E669" s="2" t="str">
        <v>-</v>
      </c>
      <c r="F669" s="2" t="str">
        <v>-</v>
      </c>
      <c r="G669" s="2" t="str">
        <v>-</v>
      </c>
    </row>
    <row r="670">
      <c r="A670" s="2" t="str">
        <v>01/05 ВС</v>
      </c>
      <c r="B670" s="2" t="str">
        <v>19:00</v>
      </c>
      <c r="C670" s="2" t="str">
        <v>НИГЕРИЯ НИГЕРИЯ</v>
      </c>
      <c r="D670" s="2" t="str">
        <v>Саншайн Старс-Шутинг Старс</v>
      </c>
      <c r="E670" s="2" t="str">
        <v>-</v>
      </c>
      <c r="F670" s="2" t="str">
        <v>-</v>
      </c>
      <c r="G670" s="2" t="str">
        <v>-</v>
      </c>
    </row>
    <row r="671">
      <c r="A671" s="2" t="str">
        <v>01/05 ВС</v>
      </c>
      <c r="B671" s="2" t="str">
        <v>19:00</v>
      </c>
      <c r="C671" s="2" t="str">
        <v>НИГЕРИЯ НИГЕРИЯ</v>
      </c>
      <c r="D671" s="2" t="str">
        <v>Хартленд-Абиа Уорриорз</v>
      </c>
      <c r="E671" s="2" t="str">
        <v>-</v>
      </c>
      <c r="F671" s="2" t="str">
        <v>-</v>
      </c>
      <c r="G671" s="2" t="str">
        <v>-</v>
      </c>
    </row>
    <row r="672">
      <c r="A672" s="2" t="str">
        <v>01/05 ВС</v>
      </c>
      <c r="B672" s="2" t="str">
        <v>16:00</v>
      </c>
      <c r="C672" s="2" t="str">
        <v>НИДЕРЛАНДЫ НИДЕРЛАНДЫ</v>
      </c>
      <c r="D672" s="2" t="str">
        <v>Блау Гел-ХВ-энд-СВ Куик</v>
      </c>
      <c r="E672" s="2" t="str">
        <v>-</v>
      </c>
      <c r="F672" s="2" t="str">
        <v>-</v>
      </c>
      <c r="G672" s="2" t="str">
        <v>-</v>
      </c>
    </row>
    <row r="673">
      <c r="A673" s="2" t="str">
        <v>01/05 ВС</v>
      </c>
      <c r="B673" s="2" t="str">
        <v>16:00</v>
      </c>
      <c r="C673" s="2" t="str">
        <v>НИДЕРЛАНДЫ НИДЕРЛАНДЫ</v>
      </c>
      <c r="D673" s="2" t="str">
        <v>Гемерт-Грене Стер</v>
      </c>
      <c r="E673" s="2" t="str">
        <v>-</v>
      </c>
      <c r="F673" s="2" t="str">
        <v>-</v>
      </c>
      <c r="G673" s="2" t="str">
        <v>-</v>
      </c>
    </row>
    <row r="674">
      <c r="A674" s="2" t="str">
        <v>01/05 ВС</v>
      </c>
      <c r="B674" s="2" t="str">
        <v>16:00</v>
      </c>
      <c r="C674" s="2" t="str">
        <v>НИДЕРЛАНДЫ НИДЕРЛАНДЫ</v>
      </c>
      <c r="D674" s="2" t="str">
        <v>ДЕМ-АДО 20 Хемскерк</v>
      </c>
      <c r="E674" s="2" t="str">
        <v>-</v>
      </c>
      <c r="F674" s="2" t="str">
        <v>-</v>
      </c>
      <c r="G674" s="2" t="str">
        <v>-</v>
      </c>
    </row>
    <row r="675">
      <c r="A675" s="2" t="str">
        <v>01/05 ВС</v>
      </c>
      <c r="B675" s="2" t="str">
        <v>16:00</v>
      </c>
      <c r="C675" s="2" t="str">
        <v>НИДЕРЛАНДЫ НИДЕРЛАНДЫ</v>
      </c>
      <c r="D675" s="2" t="str">
        <v>Донген-УНА</v>
      </c>
      <c r="E675" s="2" t="str">
        <v>-</v>
      </c>
      <c r="F675" s="2" t="str">
        <v>-</v>
      </c>
      <c r="G675" s="2" t="str">
        <v>-</v>
      </c>
    </row>
    <row r="676">
      <c r="A676" s="2" t="str">
        <v>01/05 ВС</v>
      </c>
      <c r="B676" s="2" t="str">
        <v>16:00</v>
      </c>
      <c r="C676" s="2" t="str">
        <v>НИДЕРЛАНДЫ НИДЕРЛАНДЫ</v>
      </c>
      <c r="D676" s="2" t="str">
        <v>Унитас-Вестландия</v>
      </c>
      <c r="E676" s="2" t="str">
        <v>-</v>
      </c>
      <c r="F676" s="2" t="str">
        <v>-</v>
      </c>
      <c r="G676" s="2" t="str">
        <v>-</v>
      </c>
    </row>
    <row r="677">
      <c r="A677" s="2" t="str">
        <v>01/05 ВС</v>
      </c>
      <c r="B677" s="2" t="str">
        <v>16:00</v>
      </c>
      <c r="C677" s="2" t="str">
        <v>НИДЕРЛАНДЫ НИДЕРЛАНДЫ</v>
      </c>
      <c r="D677" s="2" t="str">
        <v>ХВВ Холландиа-УСВ Геркулес</v>
      </c>
      <c r="E677" s="2" t="str">
        <v>-</v>
      </c>
      <c r="F677" s="2" t="str">
        <v>-</v>
      </c>
      <c r="G677" s="2" t="str">
        <v>-</v>
      </c>
    </row>
    <row r="678">
      <c r="A678" s="2" t="str">
        <v>01/05 ВС</v>
      </c>
      <c r="B678" s="2" t="str">
        <v>16:00</v>
      </c>
      <c r="C678" s="2" t="str">
        <v>НИДЕРЛАНДЫ НИДЕРЛАНДЫ</v>
      </c>
      <c r="D678" s="2" t="str">
        <v>Хугланд-Осс</v>
      </c>
      <c r="E678" s="2" t="str">
        <v>-</v>
      </c>
      <c r="F678" s="2" t="str">
        <v>-</v>
      </c>
      <c r="G678" s="2" t="str">
        <v>-</v>
      </c>
    </row>
    <row r="679">
      <c r="A679" s="2" t="str">
        <v>01/05 ВС</v>
      </c>
      <c r="B679" s="2" t="str">
        <v>16:30</v>
      </c>
      <c r="C679" s="2" t="str">
        <v>НИДЕРЛАНДЫ НИДЕРЛАНДЫ</v>
      </c>
      <c r="D679" s="2" t="str">
        <v>ЕВВ-ХСЦ-21</v>
      </c>
      <c r="E679" s="2" t="str">
        <v>-</v>
      </c>
      <c r="F679" s="2" t="str">
        <v>-</v>
      </c>
      <c r="G679" s="2" t="str">
        <v>-</v>
      </c>
    </row>
    <row r="680">
      <c r="A680" s="2" t="str">
        <v>01/05 ВС</v>
      </c>
      <c r="B680" s="2" t="str">
        <v>16:30</v>
      </c>
      <c r="C680" s="2" t="str">
        <v>НИДЕРЛАНДЫ НИДЕРЛАНДЫ</v>
      </c>
      <c r="D680" s="2" t="str">
        <v>Остзан-Ватерграфсмер</v>
      </c>
      <c r="E680" s="2" t="str">
        <v>-</v>
      </c>
      <c r="F680" s="2" t="str">
        <v>-</v>
      </c>
      <c r="G680" s="2" t="str">
        <v>-</v>
      </c>
    </row>
    <row r="681">
      <c r="A681" s="2" t="str">
        <v>01/05 ВС</v>
      </c>
      <c r="B681" s="2" t="str">
        <v>14:15</v>
      </c>
      <c r="C681" s="2" t="str">
        <v>НИДЕРЛАНДЫ НИДЕРЛАНДЫ</v>
      </c>
      <c r="D681" s="2" t="str">
        <v>Фейеноорд (Ж)-Ден Хааг (Ж)</v>
      </c>
      <c r="E681" s="2" t="str">
        <v>-</v>
      </c>
      <c r="F681" s="2" t="str">
        <v>-</v>
      </c>
      <c r="G681" s="2" t="str">
        <v>-</v>
      </c>
    </row>
    <row r="682">
      <c r="A682" s="2" t="str">
        <v>01/05 ВС</v>
      </c>
      <c r="B682" s="2" t="str">
        <v>16:00</v>
      </c>
      <c r="C682" s="2" t="str">
        <v>НОРВЕГИЯ НОРВЕГИЯ</v>
      </c>
      <c r="D682" s="2" t="str">
        <v>Сотра-Флекрой</v>
      </c>
      <c r="E682" s="2" t="str">
        <v>-</v>
      </c>
      <c r="F682" s="2" t="str">
        <v>-</v>
      </c>
      <c r="G682" s="2" t="str">
        <v>-</v>
      </c>
    </row>
    <row r="683">
      <c r="A683" s="2" t="str">
        <v>01/05 ВС</v>
      </c>
      <c r="B683" s="2" t="str">
        <v>16:00</v>
      </c>
      <c r="C683" s="2" t="str">
        <v>НОРВЕГИЯ НОРВЕГИЯ</v>
      </c>
      <c r="D683" s="2" t="str">
        <v>Хальден-Арендаль</v>
      </c>
      <c r="E683" s="2" t="str">
        <v>-</v>
      </c>
      <c r="F683" s="2" t="str">
        <v>-</v>
      </c>
      <c r="G683" s="2" t="str">
        <v>-</v>
      </c>
    </row>
    <row r="684">
      <c r="A684" s="2" t="str">
        <v>01/05 ВС</v>
      </c>
      <c r="B684" s="2" t="str">
        <v>20:00</v>
      </c>
      <c r="C684" s="2" t="str">
        <v>НОРВЕГИЯ НОРВЕГИЯ</v>
      </c>
      <c r="D684" s="2" t="str">
        <v>Нотодден-Мосс</v>
      </c>
      <c r="E684" s="2" t="str">
        <v>-</v>
      </c>
      <c r="F684" s="2" t="str">
        <v>-</v>
      </c>
      <c r="G684" s="2" t="str">
        <v>-</v>
      </c>
    </row>
    <row r="685">
      <c r="A685" s="2" t="str">
        <v>01/05 ВС</v>
      </c>
      <c r="B685" s="2" t="str">
        <v>15:00</v>
      </c>
      <c r="C685" s="2" t="str">
        <v>НОРВЕГИЯ НОРВЕГИЯ</v>
      </c>
      <c r="D685" s="2" t="str">
        <v>Альта-Гьовик-Лин</v>
      </c>
      <c r="E685" s="2" t="str">
        <v>-</v>
      </c>
      <c r="F685" s="2" t="str">
        <v>-</v>
      </c>
      <c r="G685" s="2" t="str">
        <v>-</v>
      </c>
    </row>
    <row r="686">
      <c r="A686" s="2" t="str">
        <v>01/05 ВС</v>
      </c>
      <c r="B686" s="2" t="str">
        <v>15:00</v>
      </c>
      <c r="C686" s="2" t="str">
        <v>НОРВЕГИЯ НОРВЕГИЯ</v>
      </c>
      <c r="D686" s="2" t="str">
        <v>Аскер-Браттваг</v>
      </c>
      <c r="E686" s="2" t="str">
        <v>-</v>
      </c>
      <c r="F686" s="2" t="str">
        <v>-</v>
      </c>
      <c r="G686" s="2" t="str">
        <v>-</v>
      </c>
    </row>
    <row r="687">
      <c r="A687" s="2" t="str">
        <v>01/05 ВС</v>
      </c>
      <c r="B687" s="2" t="str">
        <v>16:00</v>
      </c>
      <c r="C687" s="2" t="str">
        <v>НОРВЕГИЯ НОРВЕГИЯ</v>
      </c>
      <c r="D687" s="2" t="str">
        <v>Эйдсвольд-Трефф</v>
      </c>
      <c r="E687" s="2" t="str">
        <v>-</v>
      </c>
      <c r="F687" s="2" t="str">
        <v>-</v>
      </c>
      <c r="G687" s="2" t="str">
        <v>-</v>
      </c>
    </row>
    <row r="688">
      <c r="A688" s="2" t="str">
        <v>01/05 ВС</v>
      </c>
      <c r="B688" s="2" t="str">
        <v>17:35</v>
      </c>
      <c r="C688" s="2" t="str">
        <v>НОРВЕГИЯ НОРВЕГИЯ</v>
      </c>
      <c r="D688" s="2" t="str">
        <v>Левангер-Тромсдален</v>
      </c>
      <c r="E688" s="2" t="str">
        <v>-</v>
      </c>
      <c r="F688" s="2" t="str">
        <v>-</v>
      </c>
      <c r="G688" s="2" t="str">
        <v>-</v>
      </c>
    </row>
    <row r="689">
      <c r="A689" s="2" t="str">
        <v>01/05 ВС</v>
      </c>
      <c r="B689" s="2" t="str">
        <v>15:00</v>
      </c>
      <c r="C689" s="2" t="str">
        <v>НОРВЕГИЯ НОРВЕГИЯ</v>
      </c>
      <c r="D689" s="2" t="str">
        <v>Люн-Сандвикен</v>
      </c>
      <c r="E689" s="2" t="str">
        <v>-</v>
      </c>
      <c r="F689" s="2" t="str">
        <v>-</v>
      </c>
      <c r="G689" s="2" t="str">
        <v>-</v>
      </c>
    </row>
    <row r="690">
      <c r="A690" s="2" t="str">
        <v>01/05 ВС</v>
      </c>
      <c r="B690" s="2" t="str">
        <v>17:00</v>
      </c>
      <c r="C690" s="2" t="str">
        <v>НОРВЕГИЯ НОРВЕГИЯ</v>
      </c>
      <c r="D690" s="2" t="str">
        <v>Фюллингсдален-Шейд 2</v>
      </c>
      <c r="E690" s="2" t="str">
        <v>-</v>
      </c>
      <c r="F690" s="2" t="str">
        <v>-</v>
      </c>
      <c r="G690" s="2" t="str">
        <v>-</v>
      </c>
    </row>
    <row r="691">
      <c r="A691" s="2" t="str">
        <v>01/05 ВС</v>
      </c>
      <c r="B691" s="2" t="str">
        <v>18:00</v>
      </c>
      <c r="C691" s="2" t="str">
        <v>НОРВЕГИЯ НОРВЕГИЯ</v>
      </c>
      <c r="D691" s="2" t="str">
        <v>Кьелсос 2-Реди</v>
      </c>
      <c r="E691" s="2" t="str">
        <v>-</v>
      </c>
      <c r="F691" s="2" t="str">
        <v>-</v>
      </c>
      <c r="G691" s="2" t="str">
        <v>-</v>
      </c>
    </row>
    <row r="692">
      <c r="A692" s="2" t="str">
        <v>01/05 ВС</v>
      </c>
      <c r="B692" s="2" t="str">
        <v>15:00</v>
      </c>
      <c r="C692" s="2" t="str">
        <v>НОРВЕГИЯ НОРВЕГИЯ</v>
      </c>
      <c r="D692" s="2" t="str">
        <v>Хедд 2-Хёнефосс</v>
      </c>
      <c r="E692" s="2" t="str">
        <v>-</v>
      </c>
      <c r="F692" s="2" t="str">
        <v>-</v>
      </c>
      <c r="G692" s="2" t="str">
        <v>-</v>
      </c>
    </row>
    <row r="693">
      <c r="A693" s="2" t="str">
        <v>01/05 ВС</v>
      </c>
      <c r="B693" s="2" t="str">
        <v>18:00</v>
      </c>
      <c r="C693" s="2" t="str">
        <v>НОРВЕГИЯ НОРВЕГИЯ</v>
      </c>
      <c r="D693" s="2" t="str">
        <v>Хёугесунн 2-Люсеклостер</v>
      </c>
      <c r="E693" s="2" t="str">
        <v>-</v>
      </c>
      <c r="F693" s="2" t="str">
        <v>-</v>
      </c>
      <c r="G693" s="2" t="str">
        <v>-</v>
      </c>
    </row>
    <row r="694">
      <c r="A694" s="2" t="str">
        <v>01/05 ВС</v>
      </c>
      <c r="B694" s="2" t="str">
        <v>18:00</v>
      </c>
      <c r="C694" s="2" t="str">
        <v>НОРВЕГИЯ НОРВЕГИЯ</v>
      </c>
      <c r="D694" s="2" t="str">
        <v>Джелой-П. Гренленд</v>
      </c>
      <c r="E694" s="2" t="str">
        <v>-</v>
      </c>
      <c r="F694" s="2" t="str">
        <v>-</v>
      </c>
      <c r="G694" s="2" t="str">
        <v>-</v>
      </c>
    </row>
    <row r="695">
      <c r="A695" s="2" t="str">
        <v>01/05 ВС</v>
      </c>
      <c r="B695" s="2" t="str">
        <v>17:30</v>
      </c>
      <c r="C695" s="2" t="str">
        <v>НОРВЕГИЯ НОРВЕГИЯ</v>
      </c>
      <c r="D695" s="2" t="str">
        <v>Трюгг/Ладе-Будё/Глимт 2</v>
      </c>
      <c r="E695" s="2" t="str">
        <v>-</v>
      </c>
      <c r="F695" s="2" t="str">
        <v>-</v>
      </c>
      <c r="G695" s="2" t="str">
        <v>-</v>
      </c>
    </row>
    <row r="696">
      <c r="A696" s="2" t="str">
        <v>01/05 ВС</v>
      </c>
      <c r="B696" s="2" t="str">
        <v>19:00</v>
      </c>
      <c r="C696" s="2" t="str">
        <v>НОРВЕГИЯ НОРВЕГИЯ</v>
      </c>
      <c r="D696" s="2" t="str">
        <v>Иннстранденс-Кольстад</v>
      </c>
      <c r="E696" s="2" t="str">
        <v>-</v>
      </c>
      <c r="F696" s="2" t="str">
        <v>-</v>
      </c>
      <c r="G696" s="2" t="str">
        <v>-</v>
      </c>
    </row>
    <row r="697">
      <c r="A697" s="2" t="str">
        <v>01/05 ВС</v>
      </c>
      <c r="B697" s="2" t="str">
        <v>19:00</v>
      </c>
      <c r="C697" s="2" t="str">
        <v>НОРВЕГИЯ НОРВЕГИЯ</v>
      </c>
      <c r="D697" s="2" t="str">
        <v>Оркла-Юнкерен</v>
      </c>
      <c r="E697" s="2" t="str">
        <v>-</v>
      </c>
      <c r="F697" s="2" t="str">
        <v>-</v>
      </c>
      <c r="G697" s="2" t="str">
        <v>-</v>
      </c>
    </row>
    <row r="698">
      <c r="A698" s="2" t="str">
        <v>01/05 ВС</v>
      </c>
      <c r="B698" s="2" t="str">
        <v>19:00</v>
      </c>
      <c r="C698" s="2" t="str">
        <v>НОРВЕГИЯ НОРВЕГИЯ</v>
      </c>
      <c r="D698" s="2" t="str">
        <v>Русенборг 2-Рана</v>
      </c>
      <c r="E698" s="2" t="str">
        <v>-</v>
      </c>
      <c r="F698" s="2" t="str">
        <v>-</v>
      </c>
      <c r="G698" s="2" t="str">
        <v>-</v>
      </c>
    </row>
    <row r="699">
      <c r="A699" s="2" t="str">
        <v>01/05 ВС</v>
      </c>
      <c r="B699" s="2" t="str">
        <v>18:00</v>
      </c>
      <c r="C699" s="2" t="str">
        <v>НОРВЕГИЯ НОРВЕГИЯ</v>
      </c>
      <c r="D699" s="2" t="str">
        <v>Скьеттен-Харстад</v>
      </c>
      <c r="E699" s="2" t="str">
        <v>-</v>
      </c>
      <c r="F699" s="2" t="str">
        <v>-</v>
      </c>
      <c r="G699" s="2" t="str">
        <v>-</v>
      </c>
    </row>
    <row r="700">
      <c r="A700" s="2" t="str">
        <v>01/05 ВС</v>
      </c>
      <c r="B700" s="2" t="str">
        <v>18:15</v>
      </c>
      <c r="C700" s="2" t="str">
        <v>НОРВЕГИЯ НОРВЕГИЯ</v>
      </c>
      <c r="D700" s="2" t="str">
        <v>Молнер-Стрёмсгодсет 2</v>
      </c>
      <c r="E700" s="2" t="str">
        <v>-</v>
      </c>
      <c r="F700" s="2" t="str">
        <v>-</v>
      </c>
      <c r="G700" s="2" t="str">
        <v>-</v>
      </c>
    </row>
    <row r="701">
      <c r="A701" s="2" t="str">
        <v>01/05 ВС</v>
      </c>
      <c r="B701" s="2" t="str">
        <v>19:00</v>
      </c>
      <c r="C701" s="2" t="str">
        <v>НОРВЕГИЯ НОРВЕГИЯ</v>
      </c>
      <c r="D701" s="2" t="str">
        <v>Флоя-Боссекоп</v>
      </c>
      <c r="E701" s="2" t="str">
        <v>-</v>
      </c>
      <c r="F701" s="2" t="str">
        <v>-</v>
      </c>
      <c r="G701" s="2" t="str">
        <v>-</v>
      </c>
    </row>
    <row r="702">
      <c r="A702" s="2" t="str">
        <v>01/05 ВС</v>
      </c>
      <c r="B702" s="2" t="str">
        <v>18:00</v>
      </c>
      <c r="C702" s="2" t="str">
        <v>НОРВЕГИЯ НОРВЕГИЯ</v>
      </c>
      <c r="D702" s="2" t="str">
        <v>Мольде-Будё/Глимт</v>
      </c>
      <c r="E702" s="2" t="str">
        <v>3.60</v>
      </c>
      <c r="F702" s="2" t="str">
        <v>3.50</v>
      </c>
      <c r="G702" s="2" t="str">
        <v>2.05</v>
      </c>
    </row>
    <row r="703">
      <c r="A703" s="2" t="str">
        <v>01/05 ВС</v>
      </c>
      <c r="B703" s="2" t="str">
        <v>16:00</v>
      </c>
      <c r="C703" s="2" t="str">
        <v>НОРВЕГИЯ НОРВЕГИЯ</v>
      </c>
      <c r="D703" s="2" t="str">
        <v>Арна-Бьёрнар (Ж)-Стреммен (Ж)</v>
      </c>
      <c r="E703" s="2" t="str">
        <v>-</v>
      </c>
      <c r="F703" s="2" t="str">
        <v>-</v>
      </c>
      <c r="G703" s="2" t="str">
        <v>-</v>
      </c>
    </row>
    <row r="704">
      <c r="A704" s="2" t="str">
        <v>01/05 ВС</v>
      </c>
      <c r="B704" s="2" t="str">
        <v>16:00</v>
      </c>
      <c r="C704" s="2" t="str">
        <v>НОРВЕГИЯ НОРВЕГИЯ</v>
      </c>
      <c r="D704" s="2" t="str">
        <v>Волеренга (Ж)-Авальдснес (Ж)</v>
      </c>
      <c r="E704" s="2" t="str">
        <v>-</v>
      </c>
      <c r="F704" s="2" t="str">
        <v>-</v>
      </c>
      <c r="G704" s="2" t="str">
        <v>-</v>
      </c>
    </row>
    <row r="705">
      <c r="A705" s="2" t="str">
        <v>01/05 ВС</v>
      </c>
      <c r="B705" s="2" t="str">
        <v>16:00</v>
      </c>
      <c r="C705" s="2" t="str">
        <v>НОРВЕГИЯ НОРВЕГИЯ</v>
      </c>
      <c r="D705" s="2" t="str">
        <v>РУсенбург (Ж)-Люн (Ж)</v>
      </c>
      <c r="E705" s="2" t="str">
        <v>-</v>
      </c>
      <c r="F705" s="2" t="str">
        <v>-</v>
      </c>
      <c r="G705" s="2" t="str">
        <v>-</v>
      </c>
    </row>
    <row r="706">
      <c r="A706" s="2" t="str">
        <v>01/05 ВС</v>
      </c>
      <c r="B706" s="2" t="str">
        <v>16:30</v>
      </c>
      <c r="C706" s="2" t="str">
        <v>НОРВЕГИЯ НОРВЕГИЯ</v>
      </c>
      <c r="D706" s="2" t="str">
        <v>Бранн (Ж)-Колботн (Ж)</v>
      </c>
      <c r="E706" s="2" t="str">
        <v>-</v>
      </c>
      <c r="F706" s="2" t="str">
        <v>-</v>
      </c>
      <c r="G706" s="2" t="str">
        <v>-</v>
      </c>
    </row>
    <row r="707">
      <c r="A707" s="2" t="str">
        <v>01/05 ВС</v>
      </c>
      <c r="B707" s="2" t="str">
        <v>01:00</v>
      </c>
      <c r="C707" s="2" t="str">
        <v>ПАНАМА ПАНАМА</v>
      </c>
      <c r="D707" s="2" t="str">
        <v>Арабе Юнидо-Пласа Амадор</v>
      </c>
      <c r="E707" s="2" t="str">
        <v>-</v>
      </c>
      <c r="F707" s="2" t="str">
        <v>-</v>
      </c>
      <c r="G707" s="2" t="str">
        <v>-</v>
      </c>
    </row>
    <row r="708">
      <c r="A708" s="2" t="str">
        <v>01/05 ВС</v>
      </c>
      <c r="B708" s="2" t="str">
        <v>01:00</v>
      </c>
      <c r="C708" s="2" t="str">
        <v>ПАНАМА ПАНАМА</v>
      </c>
      <c r="D708" s="2" t="str">
        <v>Депортиво Университарио-Сан-Франциско</v>
      </c>
      <c r="E708" s="2" t="str">
        <v>-</v>
      </c>
      <c r="F708" s="2" t="str">
        <v>-</v>
      </c>
      <c r="G708" s="2" t="str">
        <v>-</v>
      </c>
    </row>
    <row r="709">
      <c r="A709" s="2" t="str">
        <v>01/05 ВС</v>
      </c>
      <c r="B709" s="2" t="str">
        <v>03:05</v>
      </c>
      <c r="C709" s="2" t="str">
        <v>ПАНАМА ПАНАМА</v>
      </c>
      <c r="D709" s="2" t="str">
        <v>Тауро-Коста-дель-Эсте</v>
      </c>
      <c r="E709" s="2" t="str">
        <v>-</v>
      </c>
      <c r="F709" s="2" t="str">
        <v>-</v>
      </c>
      <c r="G709" s="2" t="str">
        <v>-</v>
      </c>
    </row>
    <row r="710">
      <c r="A710" s="2" t="str">
        <v>01/05 ВС</v>
      </c>
      <c r="B710" s="2" t="str">
        <v>05:10</v>
      </c>
      <c r="C710" s="2" t="str">
        <v>ПАНАМА ПАНАМА</v>
      </c>
      <c r="D710" s="2" t="str">
        <v>Индепендьенте-Верагуас</v>
      </c>
      <c r="E710" s="2" t="str">
        <v>-</v>
      </c>
      <c r="F710" s="2" t="str">
        <v>-</v>
      </c>
      <c r="G710" s="2" t="str">
        <v>-</v>
      </c>
    </row>
    <row r="711">
      <c r="A711" s="2" t="str">
        <v>01/05 ВС</v>
      </c>
      <c r="B711" s="2" t="str">
        <v>01:30</v>
      </c>
      <c r="C711" s="2" t="str">
        <v>ПАРАГВАЙ ПАРАГВАЙ</v>
      </c>
      <c r="D711" s="2" t="str">
        <v>Хенераль Кабальеро-Либертад</v>
      </c>
      <c r="E711" s="2" t="str">
        <v>5.00</v>
      </c>
      <c r="F711" s="2" t="str">
        <v>3.60</v>
      </c>
      <c r="G711" s="2" t="str">
        <v>1.60</v>
      </c>
    </row>
    <row r="712">
      <c r="A712" s="2" t="str">
        <v>01/05 ВС</v>
      </c>
      <c r="B712" s="2" t="str">
        <v>03:45</v>
      </c>
      <c r="C712" s="2" t="str">
        <v>ПАРАГВАЙ ПАРАГВАЙ</v>
      </c>
      <c r="D712" s="2" t="str">
        <v>Серро Портеньо-Насьональ Асунсьон</v>
      </c>
      <c r="E712" s="2" t="str">
        <v>1.65</v>
      </c>
      <c r="F712" s="2" t="str">
        <v>3.60</v>
      </c>
      <c r="G712" s="2" t="str">
        <v>4.75</v>
      </c>
    </row>
    <row r="713">
      <c r="A713" s="2" t="str">
        <v>01/05 ВС</v>
      </c>
      <c r="B713" s="2" t="str">
        <v>18:00</v>
      </c>
      <c r="C713" s="2" t="str">
        <v>ПАРАГВАЙ ПАРАГВАЙ</v>
      </c>
      <c r="D713" s="2" t="str">
        <v>Атира-Депортиво Сантани</v>
      </c>
      <c r="E713" s="2" t="str">
        <v>-</v>
      </c>
      <c r="F713" s="2" t="str">
        <v>-</v>
      </c>
      <c r="G713" s="2" t="str">
        <v>-</v>
      </c>
    </row>
    <row r="714">
      <c r="A714" s="2" t="str">
        <v>01/05 ВС</v>
      </c>
      <c r="B714" s="2" t="str">
        <v>18:00</v>
      </c>
      <c r="C714" s="2" t="str">
        <v>ПАРАГВАЙ ПАРАГВАЙ</v>
      </c>
      <c r="D714" s="2" t="str">
        <v>Мартин Ледесма-Спортиво Итено</v>
      </c>
      <c r="E714" s="2" t="str">
        <v>-</v>
      </c>
      <c r="F714" s="2" t="str">
        <v>-</v>
      </c>
      <c r="G714" s="2" t="str">
        <v>-</v>
      </c>
    </row>
    <row r="715">
      <c r="A715" s="2" t="str">
        <v>01/05 ВС</v>
      </c>
      <c r="B715" s="2" t="str">
        <v>00:30</v>
      </c>
      <c r="C715" s="2" t="str">
        <v>ПЕРУ ПЕРУ</v>
      </c>
      <c r="D715" s="2" t="str">
        <v>Мельгар-Сьенсиано</v>
      </c>
      <c r="E715" s="2" t="str">
        <v>2.10</v>
      </c>
      <c r="F715" s="2" t="str">
        <v>3.30</v>
      </c>
      <c r="G715" s="2" t="str">
        <v>3.60</v>
      </c>
    </row>
    <row r="716">
      <c r="A716" s="2" t="str">
        <v>01/05 ВС</v>
      </c>
      <c r="B716" s="2" t="str">
        <v>20:00</v>
      </c>
      <c r="C716" s="2" t="str">
        <v>ПЕРУ ПЕРУ</v>
      </c>
      <c r="D716" s="2" t="str">
        <v>Альянса Атлетико-Аякучо</v>
      </c>
      <c r="E716" s="2" t="str">
        <v>1.95</v>
      </c>
      <c r="F716" s="2" t="str">
        <v>3.50</v>
      </c>
      <c r="G716" s="2" t="str">
        <v>4.00</v>
      </c>
    </row>
    <row r="717">
      <c r="A717" s="2" t="str">
        <v>01/05 ВС</v>
      </c>
      <c r="B717" s="2" t="str">
        <v>22:00</v>
      </c>
      <c r="C717" s="2" t="str">
        <v>ПЕРУ ПЕРУ</v>
      </c>
      <c r="D717" s="2" t="str">
        <v>Грау-Университарио</v>
      </c>
      <c r="E717" s="2" t="str">
        <v>3.40</v>
      </c>
      <c r="F717" s="2" t="str">
        <v>3.40</v>
      </c>
      <c r="G717" s="2" t="str">
        <v>2.15</v>
      </c>
    </row>
    <row r="718">
      <c r="A718" s="2" t="str">
        <v>01/05 ВС</v>
      </c>
      <c r="B718" s="2" t="str">
        <v>22:15</v>
      </c>
      <c r="C718" s="2" t="str">
        <v>ПЕРУ ПЕРУ</v>
      </c>
      <c r="D718" s="2" t="str">
        <v>Карлос Маннуччи-ADT Tarma</v>
      </c>
      <c r="E718" s="2" t="str">
        <v>2.10</v>
      </c>
      <c r="F718" s="2" t="str">
        <v>3.25</v>
      </c>
      <c r="G718" s="2" t="str">
        <v>3.60</v>
      </c>
    </row>
    <row r="719">
      <c r="A719" s="2" t="str">
        <v>01/05 ВС</v>
      </c>
      <c r="B719" s="2" t="str">
        <v>00:00</v>
      </c>
      <c r="C719" s="2" t="str">
        <v>ПЕРУ ПЕРУ</v>
      </c>
      <c r="D719" s="2" t="str">
        <v>Куско-Пирата</v>
      </c>
      <c r="E719" s="2" t="str">
        <v>-</v>
      </c>
      <c r="F719" s="2" t="str">
        <v>-</v>
      </c>
      <c r="G719" s="2" t="str">
        <v>-</v>
      </c>
    </row>
    <row r="720">
      <c r="A720" s="2" t="str">
        <v>01/05 ВС</v>
      </c>
      <c r="B720" s="2" t="str">
        <v>22:00</v>
      </c>
      <c r="C720" s="2" t="str">
        <v>ПЕРУ ПЕРУ</v>
      </c>
      <c r="D720" s="2" t="str">
        <v>Унион Комерсио-Льякуабамба</v>
      </c>
      <c r="E720" s="2" t="str">
        <v>-</v>
      </c>
      <c r="F720" s="2" t="str">
        <v>-</v>
      </c>
      <c r="G720" s="2" t="str">
        <v>-</v>
      </c>
    </row>
    <row r="721" xml:space="preserve">
      <c r="A721" s="2" t="str">
        <v>01/05 ВС</v>
      </c>
      <c r="B721" s="2" t="str" xml:space="preserve">
        <v xml:space="preserve">00:30_x000d_
TKP</v>
      </c>
      <c r="C721" s="2" t="str">
        <v>ПЕРУ ПЕРУ</v>
      </c>
      <c r="D721" s="2" t="str">
        <v>Спорт Бойз (Ж)-Карлос Маннуччи (Ж)</v>
      </c>
      <c r="E721" s="2" t="str">
        <v>-</v>
      </c>
      <c r="F721" s="2" t="str">
        <v>-</v>
      </c>
      <c r="G721" s="2" t="str">
        <v>-</v>
      </c>
    </row>
    <row r="722" xml:space="preserve">
      <c r="A722" s="2" t="str">
        <v>01/05 ВС</v>
      </c>
      <c r="B722" s="2" t="str" xml:space="preserve">
        <v xml:space="preserve">21:30_x000d_
TKP</v>
      </c>
      <c r="C722" s="2" t="str">
        <v>ПЕРУ ПЕРУ</v>
      </c>
      <c r="D722" s="2" t="str">
        <v>Killas (Ж)-Кантолао (Ж)</v>
      </c>
      <c r="E722" s="2" t="str">
        <v>-</v>
      </c>
      <c r="F722" s="2" t="str">
        <v>-</v>
      </c>
      <c r="G722" s="2" t="str">
        <v>-</v>
      </c>
    </row>
    <row r="723" xml:space="preserve">
      <c r="A723" s="2" t="str">
        <v>01/05 ВС</v>
      </c>
      <c r="B723" s="2" t="str" xml:space="preserve">
        <v xml:space="preserve">22:00_x000d_
TKP</v>
      </c>
      <c r="C723" s="2" t="str">
        <v>ПЕРУ ПЕРУ</v>
      </c>
      <c r="D723" s="2" t="str">
        <v>Аякучо (Ж)-Сесар Вальехо (Ж)</v>
      </c>
      <c r="E723" s="2" t="str">
        <v>-</v>
      </c>
      <c r="F723" s="2" t="str">
        <v>-</v>
      </c>
      <c r="G723" s="2" t="str">
        <v>-</v>
      </c>
    </row>
    <row r="724">
      <c r="A724" s="2" t="str">
        <v>01/05 ВС</v>
      </c>
      <c r="B724" s="2" t="str">
        <v>17:00</v>
      </c>
      <c r="C724" s="2" t="str">
        <v>ПОЛЬША ПОЛЬША</v>
      </c>
      <c r="D724" s="2" t="str">
        <v>Термалика-Плоцк</v>
      </c>
      <c r="E724" s="2" t="str">
        <v>2.37</v>
      </c>
      <c r="F724" s="2" t="str">
        <v>3.10</v>
      </c>
      <c r="G724" s="2" t="str">
        <v>3.10</v>
      </c>
    </row>
    <row r="725">
      <c r="A725" s="2" t="str">
        <v>01/05 ВС</v>
      </c>
      <c r="B725" s="2" t="str">
        <v>19:30</v>
      </c>
      <c r="C725" s="2" t="str">
        <v>ПОЛЬША ПОЛЬША</v>
      </c>
      <c r="D725" s="2" t="str">
        <v>Краковия-Висла</v>
      </c>
      <c r="E725" s="2" t="str">
        <v>2.05</v>
      </c>
      <c r="F725" s="2" t="str">
        <v>3.20</v>
      </c>
      <c r="G725" s="2" t="str">
        <v>3.60</v>
      </c>
    </row>
    <row r="726">
      <c r="A726" s="2" t="str">
        <v>01/05 ВС</v>
      </c>
      <c r="B726" s="2" t="str">
        <v>14:40</v>
      </c>
      <c r="C726" s="2" t="str">
        <v>ПОЛЬША ПОЛЬША</v>
      </c>
      <c r="D726" s="2" t="str">
        <v>Подбескидзе-Заглембе Сосновец</v>
      </c>
      <c r="E726" s="2" t="str">
        <v>1.61</v>
      </c>
      <c r="F726" s="2" t="str">
        <v>3.50</v>
      </c>
      <c r="G726" s="2" t="str">
        <v>5.00</v>
      </c>
    </row>
    <row r="727">
      <c r="A727" s="2" t="str">
        <v>01/05 ВС</v>
      </c>
      <c r="B727" s="2" t="str">
        <v>17:00</v>
      </c>
      <c r="C727" s="2" t="str">
        <v>ПОЛЬША ПОЛЬША</v>
      </c>
      <c r="D727" s="2" t="str">
        <v>ГКС-Ястшембе-Одра Ополе</v>
      </c>
      <c r="E727" s="2" t="str">
        <v>3.00</v>
      </c>
      <c r="F727" s="2" t="str">
        <v>3.10</v>
      </c>
      <c r="G727" s="2" t="str">
        <v>2.30</v>
      </c>
    </row>
    <row r="728">
      <c r="A728" s="2" t="str">
        <v>01/05 ВС</v>
      </c>
      <c r="B728" s="2" t="str">
        <v>17:00</v>
      </c>
      <c r="C728" s="2" t="str">
        <v>ПОЛЬША ПОЛЬША</v>
      </c>
      <c r="D728" s="2" t="str">
        <v>Р. Жешув-Арка Гдыня</v>
      </c>
      <c r="E728" s="2" t="str">
        <v>2.75</v>
      </c>
      <c r="F728" s="2" t="str">
        <v>3.00</v>
      </c>
      <c r="G728" s="2" t="str">
        <v>2.40</v>
      </c>
    </row>
    <row r="729">
      <c r="A729" s="2" t="str">
        <v>01/05 ВС</v>
      </c>
      <c r="B729" s="2" t="str">
        <v>20:00</v>
      </c>
      <c r="C729" s="2" t="str">
        <v>ПОЛЬША ПОЛЬША</v>
      </c>
      <c r="D729" s="2" t="str">
        <v>Пуща-Катовице</v>
      </c>
      <c r="E729" s="2" t="str">
        <v>2.20</v>
      </c>
      <c r="F729" s="2" t="str">
        <v>3.00</v>
      </c>
      <c r="G729" s="2" t="str">
        <v>3.10</v>
      </c>
    </row>
    <row r="730">
      <c r="A730" s="2" t="str">
        <v>01/05 ВС</v>
      </c>
      <c r="B730" s="2" t="str">
        <v>17:30</v>
      </c>
      <c r="C730" s="2" t="str">
        <v>ПОЛЬША ПОЛЬША</v>
      </c>
      <c r="D730" s="2" t="str">
        <v>Рух-Знич</v>
      </c>
      <c r="E730" s="2" t="str">
        <v>-</v>
      </c>
      <c r="F730" s="2" t="str">
        <v>-</v>
      </c>
      <c r="G730" s="2" t="str">
        <v>-</v>
      </c>
    </row>
    <row r="731">
      <c r="A731" s="2" t="str">
        <v>01/05 ВС</v>
      </c>
      <c r="B731" s="2" t="str">
        <v>18:00</v>
      </c>
      <c r="C731" s="2" t="str">
        <v>ПОЛЬША ПОЛЬША</v>
      </c>
      <c r="D731" s="2" t="str">
        <v>Лех 2-Калиш</v>
      </c>
      <c r="E731" s="2" t="str">
        <v>-</v>
      </c>
      <c r="F731" s="2" t="str">
        <v>-</v>
      </c>
      <c r="G731" s="2" t="str">
        <v>-</v>
      </c>
    </row>
    <row r="732">
      <c r="A732" s="2" t="str">
        <v>01/05 ВС</v>
      </c>
      <c r="B732" s="2" t="str">
        <v>18:00</v>
      </c>
      <c r="C732" s="2" t="str">
        <v>ПОЛЬША ПОЛЬША</v>
      </c>
      <c r="D732" s="2" t="str">
        <v>Шлёнск Вроцлав 2-Висля Пулявы</v>
      </c>
      <c r="E732" s="2" t="str">
        <v>-</v>
      </c>
      <c r="F732" s="2" t="str">
        <v>-</v>
      </c>
      <c r="G732" s="2" t="str">
        <v>-</v>
      </c>
    </row>
    <row r="733">
      <c r="A733" s="2" t="str">
        <v>01/05 ВС</v>
      </c>
      <c r="B733" s="2" t="str">
        <v>19:00</v>
      </c>
      <c r="C733" s="2" t="str">
        <v>ПОЛЬША ПОЛЬША</v>
      </c>
      <c r="D733" s="2" t="str">
        <v>Мотор Люблин-Сокул Острода</v>
      </c>
      <c r="E733" s="2" t="str">
        <v>-</v>
      </c>
      <c r="F733" s="2" t="str">
        <v>-</v>
      </c>
      <c r="G733" s="2" t="str">
        <v>-</v>
      </c>
    </row>
    <row r="734">
      <c r="A734" s="2" t="str">
        <v>01/05 ВС</v>
      </c>
      <c r="B734" s="2" t="str">
        <v>19:00</v>
      </c>
      <c r="C734" s="2" t="str">
        <v>ПОЛЬША ПОЛЬША</v>
      </c>
      <c r="D734" s="2" t="str">
        <v>Погон Седльце-С. Жешув</v>
      </c>
      <c r="E734" s="2" t="str">
        <v>-</v>
      </c>
      <c r="F734" s="2" t="str">
        <v>-</v>
      </c>
      <c r="G734" s="2" t="str">
        <v>-</v>
      </c>
    </row>
    <row r="735">
      <c r="A735" s="2" t="str">
        <v>01/05 ВС</v>
      </c>
      <c r="B735" s="2" t="str">
        <v>19:00</v>
      </c>
      <c r="C735" s="2" t="str">
        <v>ПОЛЬША ПОЛЬША</v>
      </c>
      <c r="D735" s="2" t="str">
        <v>Погонь Гродзиск-Мазовецкий-Олимпия Эльблонг</v>
      </c>
      <c r="E735" s="2" t="str">
        <v>-</v>
      </c>
      <c r="F735" s="2" t="str">
        <v>-</v>
      </c>
      <c r="G735" s="2" t="str">
        <v>-</v>
      </c>
    </row>
    <row r="736">
      <c r="A736" s="2" t="str">
        <v>01/05 ВС</v>
      </c>
      <c r="B736" s="2" t="str">
        <v>19:00</v>
      </c>
      <c r="C736" s="2" t="str">
        <v>ПОЛЬША ПОЛЬША</v>
      </c>
      <c r="D736" s="2" t="str">
        <v>Хутник Краков-Стежица</v>
      </c>
      <c r="E736" s="2" t="str">
        <v>-</v>
      </c>
      <c r="F736" s="2" t="str">
        <v>-</v>
      </c>
      <c r="G736" s="2" t="str">
        <v>-</v>
      </c>
    </row>
    <row r="737">
      <c r="A737" s="2" t="str">
        <v>01/05 ВС</v>
      </c>
      <c r="B737" s="2" t="str">
        <v>17:00</v>
      </c>
      <c r="C737" s="2" t="str">
        <v>ПОЛЬША ПОЛЬША</v>
      </c>
      <c r="D737" s="2" t="str">
        <v>Ягеллония II-Кутно</v>
      </c>
      <c r="E737" s="2" t="str">
        <v>-</v>
      </c>
      <c r="F737" s="2" t="str">
        <v>-</v>
      </c>
      <c r="G737" s="2" t="str">
        <v>-</v>
      </c>
    </row>
    <row r="738">
      <c r="A738" s="2" t="str">
        <v>01/05 ВС</v>
      </c>
      <c r="B738" s="2" t="str">
        <v>18:00</v>
      </c>
      <c r="C738" s="2" t="str">
        <v>ПОЛЬША ПОЛЬША</v>
      </c>
      <c r="D738" s="2" t="str">
        <v>Свит-Сокол Александров</v>
      </c>
      <c r="E738" s="2" t="str">
        <v>-</v>
      </c>
      <c r="F738" s="2" t="str">
        <v>-</v>
      </c>
      <c r="G738" s="2" t="str">
        <v>-</v>
      </c>
    </row>
    <row r="739">
      <c r="A739" s="2" t="str">
        <v>01/05 ВС</v>
      </c>
      <c r="B739" s="2" t="str">
        <v>17:00</v>
      </c>
      <c r="C739" s="2" t="str">
        <v>ПОЛЬША ПОЛЬША</v>
      </c>
      <c r="D739" s="2" t="str">
        <v>Котвица-Погонь Щецин II</v>
      </c>
      <c r="E739" s="2" t="str">
        <v>-</v>
      </c>
      <c r="F739" s="2" t="str">
        <v>-</v>
      </c>
      <c r="G739" s="2" t="str">
        <v>-</v>
      </c>
    </row>
    <row r="740">
      <c r="A740" s="2" t="str">
        <v>01/05 ВС</v>
      </c>
      <c r="B740" s="2" t="str">
        <v>19:00</v>
      </c>
      <c r="C740" s="2" t="str">
        <v>ПОЛЬША ПОЛЬША</v>
      </c>
      <c r="D740" s="2" t="str">
        <v>Олимпия Грудзёндз-Старгард-Щециньски</v>
      </c>
      <c r="E740" s="2" t="str">
        <v>-</v>
      </c>
      <c r="F740" s="2" t="str">
        <v>-</v>
      </c>
      <c r="G740" s="2" t="str">
        <v>-</v>
      </c>
    </row>
    <row r="741">
      <c r="A741" s="2" t="str">
        <v>01/05 ВС</v>
      </c>
      <c r="B741" s="2" t="str">
        <v>15:30</v>
      </c>
      <c r="C741" s="2" t="str">
        <v>ПОЛЬША ПОЛЬША</v>
      </c>
      <c r="D741" s="2" t="str">
        <v>Уния Тарнув-Чарни Полянец</v>
      </c>
      <c r="E741" s="2" t="str">
        <v>-</v>
      </c>
      <c r="F741" s="2" t="str">
        <v>-</v>
      </c>
      <c r="G741" s="2" t="str">
        <v>-</v>
      </c>
    </row>
    <row r="742">
      <c r="A742" s="2" t="str">
        <v>01/05 ВС</v>
      </c>
      <c r="B742" s="2" t="str">
        <v>18:00</v>
      </c>
      <c r="C742" s="2" t="str">
        <v>ПОЛЬША ПОЛЬША</v>
      </c>
      <c r="D742" s="2" t="str">
        <v>Хельмянка Хельм-Вислока Дебица</v>
      </c>
      <c r="E742" s="2" t="str">
        <v>-</v>
      </c>
      <c r="F742" s="2" t="str">
        <v>-</v>
      </c>
      <c r="G742" s="2" t="str">
        <v>-</v>
      </c>
    </row>
    <row r="743">
      <c r="A743" s="2" t="str">
        <v>01/05 ВС</v>
      </c>
      <c r="B743" s="2" t="str">
        <v>19:00</v>
      </c>
      <c r="C743" s="2" t="str">
        <v>ПОЛЬША ПОЛЬША</v>
      </c>
      <c r="D743" s="2" t="str">
        <v>Авиа Описание Свидник-Сокол Сенява</v>
      </c>
      <c r="E743" s="2" t="str">
        <v>-</v>
      </c>
      <c r="F743" s="2" t="str">
        <v>-</v>
      </c>
      <c r="G743" s="2" t="str">
        <v>-</v>
      </c>
    </row>
    <row r="744">
      <c r="A744" s="2" t="str">
        <v>01/05 ВС</v>
      </c>
      <c r="B744" s="2" t="str">
        <v>19:00</v>
      </c>
      <c r="C744" s="2" t="str">
        <v>ПОЛЬША ПОЛЬША</v>
      </c>
      <c r="D744" s="2" t="str">
        <v>Сандомир-Орлета Радзынь</v>
      </c>
      <c r="E744" s="2" t="str">
        <v>-</v>
      </c>
      <c r="F744" s="2" t="str">
        <v>-</v>
      </c>
      <c r="G744" s="2" t="str">
        <v>-</v>
      </c>
    </row>
    <row r="745" xml:space="preserve">
      <c r="A745" s="2" t="str">
        <v>01/05 ВС</v>
      </c>
      <c r="B745" s="2" t="str" xml:space="preserve">
        <v xml:space="preserve">15:00_x000d_
TKP</v>
      </c>
      <c r="C745" s="2" t="str">
        <v>ПОЛЬША ПОЛЬША</v>
      </c>
      <c r="D745" s="2" t="str">
        <v>Гурник Забже U18-Заглембе U18</v>
      </c>
      <c r="E745" s="2" t="str">
        <v>-</v>
      </c>
      <c r="F745" s="2" t="str">
        <v>-</v>
      </c>
      <c r="G745" s="2" t="str">
        <v>-</v>
      </c>
    </row>
    <row r="746">
      <c r="A746" s="2" t="str">
        <v>01/05 ВС</v>
      </c>
      <c r="B746" s="2" t="str">
        <v>14:00</v>
      </c>
      <c r="C746" s="2" t="str">
        <v>ПОЛЬША ПОЛЬША</v>
      </c>
      <c r="D746" s="2" t="str">
        <v>Шлёнск Вроцлав (Ж)-Энергия (Ж)</v>
      </c>
      <c r="E746" s="2" t="str">
        <v>-</v>
      </c>
      <c r="F746" s="2" t="str">
        <v>-</v>
      </c>
      <c r="G746" s="2" t="str">
        <v>-</v>
      </c>
    </row>
    <row r="747">
      <c r="A747" s="2" t="str">
        <v>01/05 ВС</v>
      </c>
      <c r="B747" s="2" t="str">
        <v>14:00</v>
      </c>
      <c r="C747" s="2" t="str">
        <v>ПОЛЬША ПОЛЬША</v>
      </c>
      <c r="D747" s="2" t="str">
        <v>Rekord Bielsko-Biala (Ж)-Быдгощ (Ж)</v>
      </c>
      <c r="E747" s="2" t="str">
        <v>-</v>
      </c>
      <c r="F747" s="2" t="str">
        <v>-</v>
      </c>
      <c r="G747" s="2" t="str">
        <v>-</v>
      </c>
    </row>
    <row r="748">
      <c r="A748" s="2" t="str">
        <v>01/05 ВС</v>
      </c>
      <c r="B748" s="2" t="str">
        <v>00:00</v>
      </c>
      <c r="C748" s="2" t="str">
        <v>ПОРТУГАЛИЯ ПОРТУГАЛИЯ</v>
      </c>
      <c r="D748" s="2" t="str">
        <v>Белененсеш-Брага</v>
      </c>
      <c r="E748" s="2" t="str">
        <v>5.00</v>
      </c>
      <c r="F748" s="2" t="str">
        <v>3.75</v>
      </c>
      <c r="G748" s="2" t="str">
        <v>1.70</v>
      </c>
    </row>
    <row r="749">
      <c r="A749" s="2" t="str">
        <v>01/05 ВС</v>
      </c>
      <c r="B749" s="2" t="str">
        <v>18:30</v>
      </c>
      <c r="C749" s="2" t="str">
        <v>ПОРТУГАЛИЯ ПОРТУГАЛИЯ</v>
      </c>
      <c r="D749" s="2" t="str">
        <v>Гимарайнш-Санта Клара</v>
      </c>
      <c r="E749" s="2" t="str">
        <v>1.90</v>
      </c>
      <c r="F749" s="2" t="str">
        <v>3.50</v>
      </c>
      <c r="G749" s="2" t="str">
        <v>4.00</v>
      </c>
    </row>
    <row r="750">
      <c r="A750" s="2" t="str">
        <v>01/05 ВС</v>
      </c>
      <c r="B750" s="2" t="str">
        <v>21:00</v>
      </c>
      <c r="C750" s="2" t="str">
        <v>ПОРТУГАЛИЯ ПОРТУГАЛИЯ</v>
      </c>
      <c r="D750" s="2" t="str">
        <v>Морейренси-Боавишта</v>
      </c>
      <c r="E750" s="2" t="str">
        <v>2.20</v>
      </c>
      <c r="F750" s="2" t="str">
        <v>3.30</v>
      </c>
      <c r="G750" s="2" t="str">
        <v>3.30</v>
      </c>
    </row>
    <row r="751">
      <c r="A751" s="2" t="str">
        <v>01/05 ВС</v>
      </c>
      <c r="B751" s="2" t="str">
        <v>23:30</v>
      </c>
      <c r="C751" s="2" t="str">
        <v>ПОРТУГАЛИЯ ПОРТУГАЛИЯ</v>
      </c>
      <c r="D751" s="2" t="str">
        <v>Спортинг-Жил Висенте</v>
      </c>
      <c r="E751" s="2" t="str">
        <v>1.33</v>
      </c>
      <c r="F751" s="2" t="str">
        <v>5.50</v>
      </c>
      <c r="G751" s="2" t="str">
        <v>8.50</v>
      </c>
    </row>
    <row r="752">
      <c r="A752" s="2" t="str">
        <v>01/05 ВС</v>
      </c>
      <c r="B752" s="2" t="str">
        <v>14:00</v>
      </c>
      <c r="C752" s="2" t="str">
        <v>ПОРТУГАЛИЯ ПОРТУГАЛИЯ</v>
      </c>
      <c r="D752" s="2" t="str">
        <v>Вилафранкенше-Бенфика (Б)</v>
      </c>
      <c r="E752" s="2" t="str">
        <v>2.75</v>
      </c>
      <c r="F752" s="2" t="str">
        <v>3.25</v>
      </c>
      <c r="G752" s="2" t="str">
        <v>2.37</v>
      </c>
    </row>
    <row r="753">
      <c r="A753" s="2" t="str">
        <v>01/05 ВС</v>
      </c>
      <c r="B753" s="2" t="str">
        <v>15:45</v>
      </c>
      <c r="C753" s="2" t="str">
        <v>ПОРТУГАЛИЯ ПОРТУГАЛИЯ</v>
      </c>
      <c r="D753" s="2" t="str">
        <v>Фейренси-Трофенше</v>
      </c>
      <c r="E753" s="2" t="str">
        <v>2.15</v>
      </c>
      <c r="F753" s="2" t="str">
        <v>3.00</v>
      </c>
      <c r="G753" s="2" t="str">
        <v>3.30</v>
      </c>
    </row>
    <row r="754">
      <c r="A754" s="2" t="str">
        <v>01/05 ВС</v>
      </c>
      <c r="B754" s="2" t="str">
        <v>17:00</v>
      </c>
      <c r="C754" s="2" t="str">
        <v>ПОРТУГАЛИЯ ПОРТУГАЛИЯ</v>
      </c>
      <c r="D754" s="2" t="str">
        <v>Риу Аве-Каса Пиа</v>
      </c>
      <c r="E754" s="2" t="str">
        <v>2.50</v>
      </c>
      <c r="F754" s="2" t="str">
        <v>2.87</v>
      </c>
      <c r="G754" s="2" t="str">
        <v>2.80</v>
      </c>
    </row>
    <row r="755">
      <c r="A755" s="2" t="str">
        <v>01/05 ВС</v>
      </c>
      <c r="B755" s="2" t="str">
        <v>14:00</v>
      </c>
      <c r="C755" s="2" t="str">
        <v>ПОРТУГАЛИЯ ПОРТУГАЛИЯ</v>
      </c>
      <c r="D755" s="2" t="str">
        <v>Анадия-Фафе</v>
      </c>
      <c r="E755" s="2" t="str">
        <v>-</v>
      </c>
      <c r="F755" s="2" t="str">
        <v>-</v>
      </c>
      <c r="G755" s="2" t="str">
        <v>-</v>
      </c>
    </row>
    <row r="756">
      <c r="A756" s="2" t="str">
        <v>01/05 ВС</v>
      </c>
      <c r="B756" s="2" t="str">
        <v>14:00</v>
      </c>
      <c r="C756" s="2" t="str">
        <v>ПОРТУГАЛИЯ ПОРТУГАЛИЯ</v>
      </c>
      <c r="D756" s="2" t="str">
        <v>Калдаш-Сантарем</v>
      </c>
      <c r="E756" s="2" t="str">
        <v>-</v>
      </c>
      <c r="F756" s="2" t="str">
        <v>-</v>
      </c>
      <c r="G756" s="2" t="str">
        <v>-</v>
      </c>
    </row>
    <row r="757">
      <c r="A757" s="2" t="str">
        <v>01/05 ВС</v>
      </c>
      <c r="B757" s="2" t="str">
        <v>14:00</v>
      </c>
      <c r="C757" s="2" t="str">
        <v>ПОРТУГАЛИЯ ПОРТУГАЛИЯ</v>
      </c>
      <c r="D757" s="2" t="str">
        <v>Канелас 2010-Лузитания</v>
      </c>
      <c r="E757" s="2" t="str">
        <v>-</v>
      </c>
      <c r="F757" s="2" t="str">
        <v>-</v>
      </c>
      <c r="G757" s="2" t="str">
        <v>-</v>
      </c>
    </row>
    <row r="758">
      <c r="A758" s="2" t="str">
        <v>01/05 ВС</v>
      </c>
      <c r="B758" s="2" t="str">
        <v>14:00</v>
      </c>
      <c r="C758" s="2" t="str">
        <v>ПОРТУГАЛИЯ ПОРТУГАЛИЯ</v>
      </c>
      <c r="D758" s="2" t="str">
        <v>Кова-да-Пьедаде-Амора</v>
      </c>
      <c r="E758" s="2" t="str">
        <v>-</v>
      </c>
      <c r="F758" s="2" t="str">
        <v>-</v>
      </c>
      <c r="G758" s="2" t="str">
        <v>-</v>
      </c>
    </row>
    <row r="759">
      <c r="A759" s="2" t="str">
        <v>01/05 ВС</v>
      </c>
      <c r="B759" s="2" t="str">
        <v>22:00</v>
      </c>
      <c r="C759" s="2" t="str">
        <v>ПОРТУГАЛИЯ ПОРТУГАЛИЯ</v>
      </c>
      <c r="D759" s="2" t="str">
        <v>Оливейренше-Брага (Б)</v>
      </c>
      <c r="E759" s="2" t="str">
        <v>-</v>
      </c>
      <c r="F759" s="2" t="str">
        <v>-</v>
      </c>
      <c r="G759" s="2" t="str">
        <v>-</v>
      </c>
    </row>
    <row r="760">
      <c r="A760" s="2" t="str">
        <v>01/05 ВС</v>
      </c>
      <c r="B760" s="2" t="str">
        <v>22:00</v>
      </c>
      <c r="C760" s="2" t="str">
        <v>ПОРТУГАЛИЯ ПОРТУГАЛИЯ</v>
      </c>
      <c r="D760" s="2" t="str">
        <v>Сетубал-Лейрия</v>
      </c>
      <c r="E760" s="2" t="str">
        <v>-</v>
      </c>
      <c r="F760" s="2" t="str">
        <v>-</v>
      </c>
      <c r="G760" s="2" t="str">
        <v>-</v>
      </c>
    </row>
    <row r="761" xml:space="preserve">
      <c r="A761" s="2" t="str">
        <v>01/05 ВС</v>
      </c>
      <c r="B761" s="2" t="str" xml:space="preserve">
        <v xml:space="preserve">14:00_x000d_
TKP</v>
      </c>
      <c r="C761" s="2" t="str">
        <v>ПОРТУГАЛИЯ ПОРТУГАЛИЯ</v>
      </c>
      <c r="D761" s="2" t="str">
        <v>Санта-Марта Пенагиан-Камара-ди-Лобуш</v>
      </c>
      <c r="E761" s="2" t="str">
        <v>-</v>
      </c>
      <c r="F761" s="2" t="str">
        <v>-</v>
      </c>
      <c r="G761" s="2" t="str">
        <v>-</v>
      </c>
    </row>
    <row r="762" xml:space="preserve">
      <c r="A762" s="2" t="str">
        <v>01/05 ВС</v>
      </c>
      <c r="B762" s="2" t="str" xml:space="preserve">
        <v xml:space="preserve">19:00_x000d_
TKP</v>
      </c>
      <c r="C762" s="2" t="str">
        <v>ПОРТУГАЛИЯ ПОРТУГАЛИЯ</v>
      </c>
      <c r="D762" s="2" t="str">
        <v>Амаранте-Вила Реал</v>
      </c>
      <c r="E762" s="2" t="str">
        <v>-</v>
      </c>
      <c r="F762" s="2" t="str">
        <v>-</v>
      </c>
      <c r="G762" s="2" t="str">
        <v>-</v>
      </c>
    </row>
    <row r="763" xml:space="preserve">
      <c r="A763" s="2" t="str">
        <v>01/05 ВС</v>
      </c>
      <c r="B763" s="2" t="str" xml:space="preserve">
        <v xml:space="preserve">19:00_x000d_
TKP</v>
      </c>
      <c r="C763" s="2" t="str">
        <v>ПОРТУГАЛИЯ ПОРТУГАЛИЯ</v>
      </c>
      <c r="D763" s="2" t="str">
        <v>Баррейренси-Юв. Эвора</v>
      </c>
      <c r="E763" s="2" t="str">
        <v>-</v>
      </c>
      <c r="F763" s="2" t="str">
        <v>-</v>
      </c>
      <c r="G763" s="2" t="str">
        <v>-</v>
      </c>
    </row>
    <row r="764" xml:space="preserve">
      <c r="A764" s="2" t="str">
        <v>01/05 ВС</v>
      </c>
      <c r="B764" s="2" t="str" xml:space="preserve">
        <v xml:space="preserve">19:00_x000d_
TKP</v>
      </c>
      <c r="C764" s="2" t="str">
        <v>ПОРТУГАЛИЯ ПОРТУГАЛИЯ</v>
      </c>
      <c r="D764" s="2" t="str">
        <v>Валадареш Гайя-Альваренга</v>
      </c>
      <c r="E764" s="2" t="str">
        <v>-</v>
      </c>
      <c r="F764" s="2" t="str">
        <v>-</v>
      </c>
      <c r="G764" s="2" t="str">
        <v>-</v>
      </c>
    </row>
    <row r="765" xml:space="preserve">
      <c r="A765" s="2" t="str">
        <v>01/05 ВС</v>
      </c>
      <c r="B765" s="2" t="str" xml:space="preserve">
        <v xml:space="preserve">19:00_x000d_
TKP</v>
      </c>
      <c r="C765" s="2" t="str">
        <v>ПОРТУГАЛИЯ ПОРТУГАЛИЯ</v>
      </c>
      <c r="D765" s="2" t="str">
        <v>Вианенше-Мерелиненсе</v>
      </c>
      <c r="E765" s="2" t="str">
        <v>-</v>
      </c>
      <c r="F765" s="2" t="str">
        <v>-</v>
      </c>
      <c r="G765" s="2" t="str">
        <v>-</v>
      </c>
    </row>
    <row r="766" xml:space="preserve">
      <c r="A766" s="2" t="str">
        <v>01/05 ВС</v>
      </c>
      <c r="B766" s="2" t="str" xml:space="preserve">
        <v xml:space="preserve">19:00_x000d_
TKP</v>
      </c>
      <c r="C766" s="2" t="str">
        <v>ПОРТУГАЛИЯ ПОРТУГАЛИЯ</v>
      </c>
      <c r="D766" s="2" t="str">
        <v>Вила Меа-Камаша</v>
      </c>
      <c r="E766" s="2" t="str">
        <v>-</v>
      </c>
      <c r="F766" s="2" t="str">
        <v>-</v>
      </c>
      <c r="G766" s="2" t="str">
        <v>-</v>
      </c>
    </row>
    <row r="767" xml:space="preserve">
      <c r="A767" s="2" t="str">
        <v>01/05 ВС</v>
      </c>
      <c r="B767" s="2" t="str" xml:space="preserve">
        <v xml:space="preserve">19:00_x000d_
TKP</v>
      </c>
      <c r="C767" s="2" t="str">
        <v>ПОРТУГАЛИЯ ПОРТУГАЛИЯ</v>
      </c>
      <c r="D767" s="2" t="str">
        <v>Иданьенсе-Олейрос</v>
      </c>
      <c r="E767" s="2" t="str">
        <v>-</v>
      </c>
      <c r="F767" s="2" t="str">
        <v>-</v>
      </c>
      <c r="G767" s="2" t="str">
        <v>-</v>
      </c>
    </row>
    <row r="768" xml:space="preserve">
      <c r="A768" s="2" t="str">
        <v>01/05 ВС</v>
      </c>
      <c r="B768" s="2" t="str" xml:space="preserve">
        <v xml:space="preserve">19:00_x000d_
TKP</v>
      </c>
      <c r="C768" s="2" t="str">
        <v>ПОРТУГАЛИЯ ПОРТУГАЛИЯ</v>
      </c>
      <c r="D768" s="2" t="str">
        <v>Имортал-Лоюлетано</v>
      </c>
      <c r="E768" s="2" t="str">
        <v>-</v>
      </c>
      <c r="F768" s="2" t="str">
        <v>-</v>
      </c>
      <c r="G768" s="2" t="str">
        <v>-</v>
      </c>
    </row>
    <row r="769" xml:space="preserve">
      <c r="A769" s="2" t="str">
        <v>01/05 ВС</v>
      </c>
      <c r="B769" s="2" t="str" xml:space="preserve">
        <v xml:space="preserve">19:00_x000d_
TKP</v>
      </c>
      <c r="C769" s="2" t="str">
        <v>ПОРТУГАЛИЯ ПОРТУГАЛИЯ</v>
      </c>
      <c r="D769" s="2" t="str">
        <v>Кондейша-Кастелу Бранку</v>
      </c>
      <c r="E769" s="2" t="str">
        <v>-</v>
      </c>
      <c r="F769" s="2" t="str">
        <v>-</v>
      </c>
      <c r="G769" s="2" t="str">
        <v>-</v>
      </c>
    </row>
    <row r="770" xml:space="preserve">
      <c r="A770" s="2" t="str">
        <v>01/05 ВС</v>
      </c>
      <c r="B770" s="2" t="str" xml:space="preserve">
        <v xml:space="preserve">19:00_x000d_
TKP</v>
      </c>
      <c r="C770" s="2" t="str">
        <v>ПОРТУГАЛИЯ ПОРТУГАЛИЯ</v>
      </c>
      <c r="D770" s="2" t="str">
        <v>Лимианос-Форжайнш</v>
      </c>
      <c r="E770" s="2" t="str">
        <v>-</v>
      </c>
      <c r="F770" s="2" t="str">
        <v>-</v>
      </c>
      <c r="G770" s="2" t="str">
        <v>-</v>
      </c>
    </row>
    <row r="771" xml:space="preserve">
      <c r="A771" s="2" t="str">
        <v>01/05 ВС</v>
      </c>
      <c r="B771" s="2" t="str" xml:space="preserve">
        <v xml:space="preserve">19:00_x000d_
TKP</v>
      </c>
      <c r="C771" s="2" t="str">
        <v>ПОРТУГАЛИЯ ПОРТУГАЛИЯ</v>
      </c>
      <c r="D771" s="2" t="str">
        <v>Македо Кавалейрос-Мирандела</v>
      </c>
      <c r="E771" s="2" t="str">
        <v>-</v>
      </c>
      <c r="F771" s="2" t="str">
        <v>-</v>
      </c>
      <c r="G771" s="2" t="str">
        <v>-</v>
      </c>
    </row>
    <row r="772" xml:space="preserve">
      <c r="A772" s="2" t="str">
        <v>01/05 ВС</v>
      </c>
      <c r="B772" s="2" t="str" xml:space="preserve">
        <v xml:space="preserve">19:00_x000d_
TKP</v>
      </c>
      <c r="C772" s="2" t="str">
        <v>ПОРТУГАЛИЯ ПОРТУГАЛИЯ</v>
      </c>
      <c r="D772" s="2" t="str">
        <v>Мариа де Фонте-Педраш Сальгадаш</v>
      </c>
      <c r="E772" s="2" t="str">
        <v>-</v>
      </c>
      <c r="F772" s="2" t="str">
        <v>-</v>
      </c>
      <c r="G772" s="2" t="str">
        <v>-</v>
      </c>
    </row>
    <row r="773" xml:space="preserve">
      <c r="A773" s="2" t="str">
        <v>01/05 ВС</v>
      </c>
      <c r="B773" s="2" t="str" xml:space="preserve">
        <v xml:space="preserve">19:00_x000d_
TKP</v>
      </c>
      <c r="C773" s="2" t="str">
        <v>ПОРТУГАЛИЯ ПОРТУГАЛИЯ</v>
      </c>
      <c r="D773" s="2" t="str">
        <v>Мариненше-Корученше</v>
      </c>
      <c r="E773" s="2" t="str">
        <v>-</v>
      </c>
      <c r="F773" s="2" t="str">
        <v>-</v>
      </c>
      <c r="G773" s="2" t="str">
        <v>-</v>
      </c>
    </row>
    <row r="774" xml:space="preserve">
      <c r="A774" s="2" t="str">
        <v>01/05 ВС</v>
      </c>
      <c r="B774" s="2" t="str" xml:space="preserve">
        <v xml:space="preserve">19:00_x000d_
TKP</v>
      </c>
      <c r="C774" s="2" t="str">
        <v>ПОРТУГАЛИЯ ПОРТУГАЛИЯ</v>
      </c>
      <c r="D774" s="2" t="str">
        <v>О Элваш-Лореш</v>
      </c>
      <c r="E774" s="2" t="str">
        <v>-</v>
      </c>
      <c r="F774" s="2" t="str">
        <v>-</v>
      </c>
      <c r="G774" s="2" t="str">
        <v>-</v>
      </c>
    </row>
    <row r="775" xml:space="preserve">
      <c r="A775" s="2" t="str">
        <v>01/05 ВС</v>
      </c>
      <c r="B775" s="2" t="str" xml:space="preserve">
        <v xml:space="preserve">19:00_x000d_
TKP</v>
      </c>
      <c r="C775" s="2" t="str">
        <v>ПОРТУГАЛИЯ ПОРТУГАЛИЯ</v>
      </c>
      <c r="D775" s="2" t="str">
        <v>Пениш-Витория Серначе</v>
      </c>
      <c r="E775" s="2" t="str">
        <v>-</v>
      </c>
      <c r="F775" s="2" t="str">
        <v>-</v>
      </c>
      <c r="G775" s="2" t="str">
        <v>-</v>
      </c>
    </row>
    <row r="776" xml:space="preserve">
      <c r="A776" s="2" t="str">
        <v>01/05 ВС</v>
      </c>
      <c r="B776" s="2" t="str" xml:space="preserve">
        <v xml:space="preserve">19:00_x000d_
TKP</v>
      </c>
      <c r="C776" s="2" t="str">
        <v>ПОРТУГАЛИЯ ПОРТУГАЛИЯ</v>
      </c>
      <c r="D776" s="2" t="str">
        <v>Сакавененше-Синтренсе</v>
      </c>
      <c r="E776" s="2" t="str">
        <v>-</v>
      </c>
      <c r="F776" s="2" t="str">
        <v>-</v>
      </c>
      <c r="G776" s="2" t="str">
        <v>-</v>
      </c>
    </row>
    <row r="777" xml:space="preserve">
      <c r="A777" s="2" t="str">
        <v>01/05 ВС</v>
      </c>
      <c r="B777" s="2" t="str" xml:space="preserve">
        <v xml:space="preserve">19:00_x000d_
TKP</v>
      </c>
      <c r="C777" s="2" t="str">
        <v>ПОРТУГАЛИЯ ПОРТУГАЛИЯ</v>
      </c>
      <c r="D777" s="2" t="str">
        <v>Тирсенсе-Берко</v>
      </c>
      <c r="E777" s="2" t="str">
        <v>-</v>
      </c>
      <c r="F777" s="2" t="str">
        <v>-</v>
      </c>
      <c r="G777" s="2" t="str">
        <v>-</v>
      </c>
    </row>
    <row r="778" xml:space="preserve">
      <c r="A778" s="2" t="str">
        <v>01/05 ВС</v>
      </c>
      <c r="B778" s="2" t="str" xml:space="preserve">
        <v xml:space="preserve">19:00_x000d_
TKP</v>
      </c>
      <c r="C778" s="2" t="str">
        <v>ПОРТУГАЛИЯ ПОРТУГАЛИЯ</v>
      </c>
      <c r="D778" s="2" t="str">
        <v>Униао де Коимбра-Гувейя</v>
      </c>
      <c r="E778" s="2" t="str">
        <v>-</v>
      </c>
      <c r="F778" s="2" t="str">
        <v>-</v>
      </c>
      <c r="G778" s="2" t="str">
        <v>-</v>
      </c>
    </row>
    <row r="779" xml:space="preserve">
      <c r="A779" s="2" t="str">
        <v>01/05 ВС</v>
      </c>
      <c r="B779" s="2" t="str" xml:space="preserve">
        <v xml:space="preserve">19:00_x000d_
TKP</v>
      </c>
      <c r="C779" s="2" t="str">
        <v>ПОРТУГАЛИЯ ПОРТУГАЛИЯ</v>
      </c>
      <c r="D779" s="2" t="str">
        <v>Униао Монтемор-Серпа</v>
      </c>
      <c r="E779" s="2" t="str">
        <v>-</v>
      </c>
      <c r="F779" s="2" t="str">
        <v>-</v>
      </c>
      <c r="G779" s="2" t="str">
        <v>-</v>
      </c>
    </row>
    <row r="780" xml:space="preserve">
      <c r="A780" s="2" t="str">
        <v>01/05 ВС</v>
      </c>
      <c r="B780" s="2" t="str" xml:space="preserve">
        <v xml:space="preserve">19:00_x000d_
TKP</v>
      </c>
      <c r="C780" s="2" t="str">
        <v>ПОРТУГАЛИЯ ПОРТУГАЛИЯ</v>
      </c>
      <c r="D780" s="2" t="str">
        <v>Феррейра де Авеш-Каштру-Дайри</v>
      </c>
      <c r="E780" s="2" t="str">
        <v>-</v>
      </c>
      <c r="F780" s="2" t="str">
        <v>-</v>
      </c>
      <c r="G780" s="2" t="str">
        <v>-</v>
      </c>
    </row>
    <row r="781" xml:space="preserve">
      <c r="A781" s="2" t="str">
        <v>01/05 ВС</v>
      </c>
      <c r="B781" s="2" t="str" xml:space="preserve">
        <v xml:space="preserve">20:00_x000d_
TKP</v>
      </c>
      <c r="C781" s="2" t="str">
        <v>ПОРТУГАЛИЯ ПОРТУГАЛИЯ</v>
      </c>
      <c r="D781" s="2" t="str">
        <v>Операрио-Праенсе</v>
      </c>
      <c r="E781" s="2" t="str">
        <v>-</v>
      </c>
      <c r="F781" s="2" t="str">
        <v>-</v>
      </c>
      <c r="G781" s="2" t="str">
        <v>-</v>
      </c>
    </row>
    <row r="782" xml:space="preserve">
      <c r="A782" s="2" t="str">
        <v>01/05 ВС</v>
      </c>
      <c r="B782" s="2" t="str" xml:space="preserve">
        <v xml:space="preserve">20:00_x000d_
TKP</v>
      </c>
      <c r="C782" s="2" t="str">
        <v>ПОРТУГАЛИЯ ПОРТУГАЛИЯ</v>
      </c>
      <c r="D782" s="2" t="str">
        <v>Спортинг Идеал-Рабу Пейше</v>
      </c>
      <c r="E782" s="2" t="str">
        <v>-</v>
      </c>
      <c r="F782" s="2" t="str">
        <v>-</v>
      </c>
      <c r="G782" s="2" t="str">
        <v>-</v>
      </c>
    </row>
    <row r="783" xml:space="preserve">
      <c r="A783" s="2" t="str">
        <v>01/05 ВС</v>
      </c>
      <c r="B783" s="2" t="str" xml:space="preserve">
        <v xml:space="preserve">17:00_x000d_
TKP</v>
      </c>
      <c r="C783" s="2" t="str">
        <v>ПОРТУГАЛИЯ ПОРТУГАЛИЯ</v>
      </c>
      <c r="D783" s="2" t="str">
        <v>Монкарапаченс-Фоньиньяс</v>
      </c>
      <c r="E783" s="2" t="str">
        <v>-</v>
      </c>
      <c r="F783" s="2" t="str">
        <v>-</v>
      </c>
      <c r="G783" s="2" t="str">
        <v>-</v>
      </c>
    </row>
    <row r="784" xml:space="preserve">
      <c r="A784" s="2" t="str">
        <v>01/05 ВС</v>
      </c>
      <c r="B784" s="2" t="str" xml:space="preserve">
        <v xml:space="preserve">19:00_x000d_
TKP</v>
      </c>
      <c r="C784" s="2" t="str">
        <v>ПОРТУГАЛИЯ ПОРТУГАЛИЯ</v>
      </c>
      <c r="D784" s="2" t="str">
        <v>Лека-Паредес</v>
      </c>
      <c r="E784" s="2" t="str">
        <v>-</v>
      </c>
      <c r="F784" s="2" t="str">
        <v>-</v>
      </c>
      <c r="G784" s="2" t="str">
        <v>-</v>
      </c>
    </row>
    <row r="785" xml:space="preserve">
      <c r="A785" s="2" t="str">
        <v>01/05 ВС</v>
      </c>
      <c r="B785" s="2" t="str" xml:space="preserve">
        <v xml:space="preserve">19:00_x000d_
TKP</v>
      </c>
      <c r="C785" s="2" t="str">
        <v>ПОРТУГАЛИЯ ПОРТУГАЛИЯ</v>
      </c>
      <c r="D785" s="2" t="str">
        <v>ОС Белененсеш-Ольяненсе</v>
      </c>
      <c r="E785" s="2" t="str">
        <v>-</v>
      </c>
      <c r="F785" s="2" t="str">
        <v>-</v>
      </c>
      <c r="G785" s="2" t="str">
        <v>-</v>
      </c>
    </row>
    <row r="786" xml:space="preserve">
      <c r="A786" s="2" t="str">
        <v>01/05 ВС</v>
      </c>
      <c r="B786" s="2" t="str" xml:space="preserve">
        <v xml:space="preserve">19:00_x000d_
TKP</v>
      </c>
      <c r="C786" s="2" t="str">
        <v>ПОРТУГАЛИЯ ПОРТУГАЛИЯ</v>
      </c>
      <c r="D786" s="2" t="str">
        <v>Перу-Пиньейру-Сертаненсе</v>
      </c>
      <c r="E786" s="2" t="str">
        <v>-</v>
      </c>
      <c r="F786" s="2" t="str">
        <v>-</v>
      </c>
      <c r="G786" s="2" t="str">
        <v>-</v>
      </c>
    </row>
    <row r="787" xml:space="preserve">
      <c r="A787" s="2" t="str">
        <v>01/05 ВС</v>
      </c>
      <c r="B787" s="2" t="str" xml:space="preserve">
        <v xml:space="preserve">19:00_x000d_
TKP</v>
      </c>
      <c r="C787" s="2" t="str">
        <v>ПОРТУГАЛИЯ ПОРТУГАЛИЯ</v>
      </c>
      <c r="D787" s="2" t="str">
        <v>Салгейруш-Вилаверденше</v>
      </c>
      <c r="E787" s="2" t="str">
        <v>-</v>
      </c>
      <c r="F787" s="2" t="str">
        <v>-</v>
      </c>
      <c r="G787" s="2" t="str">
        <v>-</v>
      </c>
    </row>
    <row r="788" xml:space="preserve">
      <c r="A788" s="2" t="str">
        <v>01/05 ВС</v>
      </c>
      <c r="B788" s="2" t="str" xml:space="preserve">
        <v xml:space="preserve">19:00_x000d_
TKP</v>
      </c>
      <c r="C788" s="2" t="str">
        <v>ПОРТУГАЛИЯ ПОРТУГАЛИЯ</v>
      </c>
      <c r="D788" s="2" t="str">
        <v>Сан-Мартинью-Маритиму (Б)</v>
      </c>
      <c r="E788" s="2" t="str">
        <v>-</v>
      </c>
      <c r="F788" s="2" t="str">
        <v>-</v>
      </c>
      <c r="G788" s="2" t="str">
        <v>-</v>
      </c>
    </row>
    <row r="789" xml:space="preserve">
      <c r="A789" s="2" t="str">
        <v>01/05 ВС</v>
      </c>
      <c r="B789" s="2" t="str" xml:space="preserve">
        <v xml:space="preserve">19:00_x000d_
TKP</v>
      </c>
      <c r="C789" s="2" t="str">
        <v>ПОРТУГАЛИЯ ПОРТУГАЛИЯ</v>
      </c>
      <c r="D789" s="2" t="str">
        <v>Жил Висенте (Ж)-Амора (Ж)</v>
      </c>
      <c r="E789" s="2" t="str">
        <v>-</v>
      </c>
      <c r="F789" s="2" t="str">
        <v>-</v>
      </c>
      <c r="G789" s="2" t="str">
        <v>-</v>
      </c>
    </row>
    <row r="790" xml:space="preserve">
      <c r="A790" s="2" t="str">
        <v>01/05 ВС</v>
      </c>
      <c r="B790" s="2" t="str" xml:space="preserve">
        <v xml:space="preserve">19:00_x000d_
TKP</v>
      </c>
      <c r="C790" s="2" t="str">
        <v>ПОРТУГАЛИЯ ПОРТУГАЛИЯ</v>
      </c>
      <c r="D790" s="2" t="str">
        <v>Оуриенсе (Ж)-Атлетику (Ж)</v>
      </c>
      <c r="E790" s="2" t="str">
        <v>-</v>
      </c>
      <c r="F790" s="2" t="str">
        <v>-</v>
      </c>
      <c r="G790" s="2" t="str">
        <v>-</v>
      </c>
    </row>
    <row r="791" xml:space="preserve">
      <c r="A791" s="2" t="str">
        <v>01/05 ВС</v>
      </c>
      <c r="B791" s="2" t="str" xml:space="preserve">
        <v xml:space="preserve">19:00_x000d_
TKP</v>
      </c>
      <c r="C791" s="2" t="str">
        <v>ПОРТУГАЛИЯ ПОРТУГАЛИЯ</v>
      </c>
      <c r="D791" s="2" t="str">
        <v>Эшторил (Ж)-Варзин (Ж)</v>
      </c>
      <c r="E791" s="2" t="str">
        <v>-</v>
      </c>
      <c r="F791" s="2" t="str">
        <v>-</v>
      </c>
      <c r="G791" s="2" t="str">
        <v>-</v>
      </c>
    </row>
    <row r="792" xml:space="preserve">
      <c r="A792" s="2" t="str">
        <v>01/05 ВС</v>
      </c>
      <c r="B792" s="2" t="str" xml:space="preserve">
        <v xml:space="preserve">14:00_x000d_
TKP</v>
      </c>
      <c r="C792" s="2" t="str">
        <v>ПОРТУГАЛИЯ ПОРТУГАЛИЯ</v>
      </c>
      <c r="D792" s="2" t="str">
        <v>Маритиму (Ж)-Бенфика (Ж)</v>
      </c>
      <c r="E792" s="2" t="str">
        <v>-</v>
      </c>
      <c r="F792" s="2" t="str">
        <v>-</v>
      </c>
      <c r="G792" s="2" t="str">
        <v>-</v>
      </c>
    </row>
    <row r="793" xml:space="preserve">
      <c r="A793" s="2" t="str">
        <v>01/05 ВС</v>
      </c>
      <c r="B793" s="2" t="str" xml:space="preserve">
        <v xml:space="preserve">16:00_x000d_
TKP</v>
      </c>
      <c r="C793" s="2" t="str">
        <v>ПОРТУГАЛИЯ ПОРТУГАЛИЯ</v>
      </c>
      <c r="D793" s="2" t="str">
        <v>Торринсе (Ж)-Брага (Ж)</v>
      </c>
      <c r="E793" s="2" t="str">
        <v>-</v>
      </c>
      <c r="F793" s="2" t="str">
        <v>-</v>
      </c>
      <c r="G793" s="2" t="str">
        <v>-</v>
      </c>
    </row>
    <row r="794" xml:space="preserve">
      <c r="A794" s="2" t="str">
        <v>01/05 ВС</v>
      </c>
      <c r="B794" s="2" t="str" xml:space="preserve">
        <v xml:space="preserve">19:00_x000d_
TKP</v>
      </c>
      <c r="C794" s="2" t="str">
        <v>ПОРТУГАЛИЯ ПОРТУГАЛИЯ</v>
      </c>
      <c r="D794" s="2" t="str">
        <v>Албергария/Дурит (Ж)-Фамаликан (Ж)</v>
      </c>
      <c r="E794" s="2" t="str">
        <v>-</v>
      </c>
      <c r="F794" s="2" t="str">
        <v>-</v>
      </c>
      <c r="G794" s="2" t="str">
        <v>-</v>
      </c>
    </row>
    <row r="795" xml:space="preserve">
      <c r="A795" s="2" t="str">
        <v>01/05 ВС</v>
      </c>
      <c r="B795" s="2" t="str" xml:space="preserve">
        <v xml:space="preserve">19:00_x000d_
TKP</v>
      </c>
      <c r="C795" s="2" t="str">
        <v>ПОРТУГАЛИЯ ПОРТУГАЛИЯ</v>
      </c>
      <c r="D795" s="2" t="str">
        <v>Спортинг (Ж)-Вилаверденше (Ж)</v>
      </c>
      <c r="E795" s="2" t="str">
        <v>-</v>
      </c>
      <c r="F795" s="2" t="str">
        <v>-</v>
      </c>
      <c r="G795" s="2" t="str">
        <v>-</v>
      </c>
    </row>
    <row r="796" xml:space="preserve">
      <c r="A796" s="2" t="str">
        <v>01/05 ВС</v>
      </c>
      <c r="B796" s="2" t="str" xml:space="preserve">
        <v xml:space="preserve">15:45_x000d_
TKP</v>
      </c>
      <c r="C796" s="2" t="str">
        <v>РЕЮНЬОН РЕЮНЬОН</v>
      </c>
      <c r="D796" s="2" t="str">
        <v>Capricorne-Тампоннез</v>
      </c>
      <c r="E796" s="2" t="str">
        <v>-</v>
      </c>
      <c r="F796" s="2" t="str">
        <v>-</v>
      </c>
      <c r="G796" s="2" t="str">
        <v>-</v>
      </c>
    </row>
    <row r="797" xml:space="preserve">
      <c r="A797" s="2" t="str">
        <v>01/05 ВС</v>
      </c>
      <c r="B797" s="2" t="str" xml:space="preserve">
        <v xml:space="preserve">15:45_x000d_
TKP</v>
      </c>
      <c r="C797" s="2" t="str">
        <v>РЕЮНЬОН РЕЮНЬОН</v>
      </c>
      <c r="D797" s="2" t="str">
        <v>Парфин-Сен-Полуаз</v>
      </c>
      <c r="E797" s="2" t="str">
        <v>-</v>
      </c>
      <c r="F797" s="2" t="str">
        <v>-</v>
      </c>
      <c r="G797" s="2" t="str">
        <v>-</v>
      </c>
    </row>
    <row r="798" xml:space="preserve">
      <c r="A798" s="2" t="str">
        <v>01/05 ВС</v>
      </c>
      <c r="B798" s="2" t="str" xml:space="preserve">
        <v xml:space="preserve">15:45_x000d_
TKP</v>
      </c>
      <c r="C798" s="2" t="str">
        <v>РЕЮНЬОН РЕЮНЬОН</v>
      </c>
      <c r="D798" s="2" t="str">
        <v>Сен-Марьен-Эксельсиор</v>
      </c>
      <c r="E798" s="2" t="str">
        <v>-</v>
      </c>
      <c r="F798" s="2" t="str">
        <v>-</v>
      </c>
      <c r="G798" s="2" t="str">
        <v>-</v>
      </c>
    </row>
    <row r="799" xml:space="preserve">
      <c r="A799" s="2" t="str">
        <v>01/05 ВС</v>
      </c>
      <c r="B799" s="2" t="str" xml:space="preserve">
        <v xml:space="preserve">15:45_x000d_
TKP</v>
      </c>
      <c r="C799" s="2" t="str">
        <v>РЕЮНЬОН РЕЮНЬОН</v>
      </c>
      <c r="D799" s="2" t="str">
        <v>Сент-Луис-Сен-Дени</v>
      </c>
      <c r="E799" s="2" t="str">
        <v>-</v>
      </c>
      <c r="F799" s="2" t="str">
        <v>-</v>
      </c>
      <c r="G799" s="2" t="str">
        <v>-</v>
      </c>
    </row>
    <row r="800" xml:space="preserve">
      <c r="A800" s="2" t="str">
        <v>01/05 ВС</v>
      </c>
      <c r="B800" s="2" t="str" xml:space="preserve">
        <v xml:space="preserve">15:45_x000d_
TKP</v>
      </c>
      <c r="C800" s="2" t="str">
        <v>РЕЮНЬОН РЕЮНЬОН</v>
      </c>
      <c r="D800" s="2" t="str">
        <v>Труа Баззин-Марсунс</v>
      </c>
      <c r="E800" s="2" t="str">
        <v>-</v>
      </c>
      <c r="F800" s="2" t="str">
        <v>-</v>
      </c>
      <c r="G800" s="2" t="str">
        <v>-</v>
      </c>
    </row>
    <row r="801" xml:space="preserve">
      <c r="A801" s="2" t="str">
        <v>01/05 ВС</v>
      </c>
      <c r="B801" s="2" t="str" xml:space="preserve">
        <v xml:space="preserve">15:45_x000d_
TKP</v>
      </c>
      <c r="C801" s="2" t="str">
        <v>РЕЮНЬОН РЕЮНЬОН</v>
      </c>
      <c r="D801" s="2" t="str">
        <v>Sainte Rose-Sainte-Suzanne</v>
      </c>
      <c r="E801" s="2" t="str">
        <v>-</v>
      </c>
      <c r="F801" s="2" t="str">
        <v>-</v>
      </c>
      <c r="G801" s="2" t="str">
        <v>-</v>
      </c>
    </row>
    <row r="802">
      <c r="A802" s="2" t="str">
        <v>01/05 ВС</v>
      </c>
      <c r="B802" s="2" t="str">
        <v>17:00</v>
      </c>
      <c r="C802" s="2" t="str">
        <v>РОССИЯ РОССИЯ</v>
      </c>
      <c r="D802" s="2" t="str">
        <v>Динамо Москва 2-Красава</v>
      </c>
      <c r="E802" s="2" t="str">
        <v>-</v>
      </c>
      <c r="F802" s="2" t="str">
        <v>-</v>
      </c>
      <c r="G802" s="2" t="str">
        <v>-</v>
      </c>
    </row>
    <row r="803">
      <c r="A803" s="2" t="str">
        <v>01/05 ВС</v>
      </c>
      <c r="B803" s="2" t="str">
        <v>12:30</v>
      </c>
      <c r="C803" s="2" t="str">
        <v>РОССИЯ РОССИЯ</v>
      </c>
      <c r="D803" s="2" t="str">
        <v>Рязань-ВДВ (Ж)-Локомотив Москва (Ж)</v>
      </c>
      <c r="E803" s="2" t="str">
        <v>-</v>
      </c>
      <c r="F803" s="2" t="str">
        <v>-</v>
      </c>
      <c r="G803" s="2" t="str">
        <v>-</v>
      </c>
    </row>
    <row r="804">
      <c r="A804" s="2" t="str">
        <v>01/05 ВС</v>
      </c>
      <c r="B804" s="2" t="str">
        <v>14:00</v>
      </c>
      <c r="C804" s="2" t="str">
        <v>РОССИЯ РОССИЯ</v>
      </c>
      <c r="D804" s="2" t="str">
        <v>Чертаново (Ж)-ЦСКА (Ж)</v>
      </c>
      <c r="E804" s="2" t="str">
        <v>-</v>
      </c>
      <c r="F804" s="2" t="str">
        <v>-</v>
      </c>
      <c r="G804" s="2" t="str">
        <v>-</v>
      </c>
    </row>
    <row r="805">
      <c r="A805" s="2" t="str">
        <v>01/05 ВС</v>
      </c>
      <c r="B805" s="2" t="str">
        <v>17:00</v>
      </c>
      <c r="C805" s="2" t="str">
        <v>РОССИЯ РОССИЯ</v>
      </c>
      <c r="D805" s="2" t="str">
        <v>Ростов (Ж)-Звезда-2005 (Ж)</v>
      </c>
      <c r="E805" s="2" t="str">
        <v>-</v>
      </c>
      <c r="F805" s="2" t="str">
        <v>-</v>
      </c>
      <c r="G805" s="2" t="str">
        <v>-</v>
      </c>
    </row>
    <row r="806">
      <c r="A806" s="2" t="str">
        <v>01/05 ВС</v>
      </c>
      <c r="B806" s="2" t="str">
        <v>17:00</v>
      </c>
      <c r="C806" s="2" t="str">
        <v>РУАНДА РУАНДА</v>
      </c>
      <c r="D806" s="2" t="str">
        <v>АПР-Etoile de L'Est</v>
      </c>
      <c r="E806" s="2" t="str">
        <v>-</v>
      </c>
      <c r="F806" s="2" t="str">
        <v>-</v>
      </c>
      <c r="G806" s="2" t="str">
        <v>-</v>
      </c>
    </row>
    <row r="807">
      <c r="A807" s="2" t="str">
        <v>01/05 ВС</v>
      </c>
      <c r="B807" s="2" t="str">
        <v>20:00</v>
      </c>
      <c r="C807" s="2" t="str">
        <v>РУМЫНИЯ РУМЫНИЯ</v>
      </c>
      <c r="D807" s="2" t="str">
        <v>У Крайова 1948-УТА Арад</v>
      </c>
      <c r="E807" s="2" t="str">
        <v>2.37</v>
      </c>
      <c r="F807" s="2" t="str">
        <v>2.80</v>
      </c>
      <c r="G807" s="2" t="str">
        <v>3.00</v>
      </c>
    </row>
    <row r="808">
      <c r="A808" s="2" t="str">
        <v>01/05 ВС</v>
      </c>
      <c r="B808" s="2" t="str">
        <v>22:30</v>
      </c>
      <c r="C808" s="2" t="str">
        <v>РУМЫНИЯ РУМЫНИЯ</v>
      </c>
      <c r="D808" s="2" t="str">
        <v>ЧФР Клуж-Фарул</v>
      </c>
      <c r="E808" s="2" t="str">
        <v>1.53</v>
      </c>
      <c r="F808" s="2" t="str">
        <v>3.40</v>
      </c>
      <c r="G808" s="2" t="str">
        <v>6.00</v>
      </c>
    </row>
    <row r="809">
      <c r="A809" s="2" t="str">
        <v>01/05 ВС</v>
      </c>
      <c r="B809" s="2" t="str">
        <v>15:30</v>
      </c>
      <c r="C809" s="2" t="str">
        <v>РУМЫНИЯ РУМЫНИЯ</v>
      </c>
      <c r="D809" s="2" t="str">
        <v>Петролул-Стяуа Бухарест</v>
      </c>
      <c r="E809" s="2" t="str">
        <v>-</v>
      </c>
      <c r="F809" s="2" t="str">
        <v>-</v>
      </c>
      <c r="G809" s="2" t="str">
        <v>-</v>
      </c>
    </row>
    <row r="810">
      <c r="A810" s="2" t="str">
        <v>01/05 ВС</v>
      </c>
      <c r="B810" s="2" t="str">
        <v>12:00</v>
      </c>
      <c r="C810" s="2" t="str">
        <v>РУМЫНИЯ РУМЫНИЯ</v>
      </c>
      <c r="D810" s="2" t="str">
        <v>Политехника Тимишоара (Ж)-Вашаш Од (Ж)</v>
      </c>
      <c r="E810" s="2" t="str">
        <v>-</v>
      </c>
      <c r="F810" s="2" t="str">
        <v>-</v>
      </c>
      <c r="G810" s="2" t="str">
        <v>-</v>
      </c>
    </row>
    <row r="811">
      <c r="A811" s="2" t="str">
        <v>01/05 ВС</v>
      </c>
      <c r="B811" s="2" t="str">
        <v>01:15</v>
      </c>
      <c r="C811" s="2" t="str">
        <v>САЛЬВАДОР САЛЬВАДОР</v>
      </c>
      <c r="D811" s="2" t="str">
        <v>Джокоро-Платенсе</v>
      </c>
      <c r="E811" s="2" t="str">
        <v>-</v>
      </c>
      <c r="F811" s="2" t="str">
        <v>-</v>
      </c>
      <c r="G811" s="2" t="str">
        <v>-</v>
      </c>
    </row>
    <row r="812">
      <c r="A812" s="2" t="str">
        <v>01/05 ВС</v>
      </c>
      <c r="B812" s="2" t="str">
        <v>05:00</v>
      </c>
      <c r="C812" s="2" t="str">
        <v>САЛЬВАДОР САЛЬВАДОР</v>
      </c>
      <c r="D812" s="2" t="str">
        <v>Агила-11. Депортиво</v>
      </c>
      <c r="E812" s="2" t="str">
        <v>-</v>
      </c>
      <c r="F812" s="2" t="str">
        <v>-</v>
      </c>
      <c r="G812" s="2" t="str">
        <v>-</v>
      </c>
    </row>
    <row r="813">
      <c r="A813" s="2" t="str">
        <v>01/05 ВС</v>
      </c>
      <c r="B813" s="2" t="str">
        <v>00:00</v>
      </c>
      <c r="C813" s="2" t="str">
        <v>СЕВЕРНАЯ И ЦЕНТРАЛЬНАЯ АМЕРИКА СЕВЕРНАЯ И ЦЕНТРАЛЬНАЯ АМЕРИКА</v>
      </c>
      <c r="D813" s="2" t="str">
        <v>Мексика U17 (Ж)-Гайана U17 (Ж)</v>
      </c>
      <c r="E813" s="2" t="str">
        <v>-</v>
      </c>
      <c r="F813" s="2" t="str">
        <v>-</v>
      </c>
      <c r="G813" s="2" t="str">
        <v>-</v>
      </c>
    </row>
    <row r="814">
      <c r="A814" s="2" t="str">
        <v>01/05 ВС</v>
      </c>
      <c r="B814" s="2" t="str">
        <v>00:00</v>
      </c>
      <c r="C814" s="2" t="str">
        <v>СЕВЕРНАЯ И ЦЕНТРАЛЬНАЯ АМЕРИКА СЕВЕРНАЯ И ЦЕНТРАЛЬНАЯ АМЕРИКА</v>
      </c>
      <c r="D814" s="2" t="str">
        <v>США U17 (Ж)-Кюрасао U17 (Ж)</v>
      </c>
      <c r="E814" s="2" t="str">
        <v>-</v>
      </c>
      <c r="F814" s="2" t="str">
        <v>-</v>
      </c>
      <c r="G814" s="2" t="str">
        <v>-</v>
      </c>
    </row>
    <row r="815">
      <c r="A815" s="2" t="str">
        <v>01/05 ВС</v>
      </c>
      <c r="B815" s="2" t="str">
        <v>03:00</v>
      </c>
      <c r="C815" s="2" t="str">
        <v>СЕВЕРНАЯ И ЦЕНТРАЛЬНАЯ АМЕРИКА СЕВЕРНАЯ И ЦЕНТРАЛЬНАЯ АМЕРИКА</v>
      </c>
      <c r="D815" s="2" t="str">
        <v>Коста-Рика U17 (Ж)-Никарагуа U17 (Ж)</v>
      </c>
      <c r="E815" s="2" t="str">
        <v>-</v>
      </c>
      <c r="F815" s="2" t="str">
        <v>-</v>
      </c>
      <c r="G815" s="2" t="str">
        <v>-</v>
      </c>
    </row>
    <row r="816">
      <c r="A816" s="2" t="str">
        <v>01/05 ВС</v>
      </c>
      <c r="B816" s="2" t="str">
        <v>03:00</v>
      </c>
      <c r="C816" s="2" t="str">
        <v>СЕВЕРНАЯ И ЦЕНТРАЛЬНАЯ АМЕРИКА СЕВЕРНАЯ И ЦЕНТРАЛЬНАЯ АМЕРИКА</v>
      </c>
      <c r="D816" s="2" t="str">
        <v>Панама U17 (Ж)-Пуэрто-Рико U17 (Ж)</v>
      </c>
      <c r="E816" s="2" t="str">
        <v>-</v>
      </c>
      <c r="F816" s="2" t="str">
        <v>-</v>
      </c>
      <c r="G816" s="2" t="str">
        <v>-</v>
      </c>
    </row>
    <row r="817">
      <c r="A817" s="2" t="str">
        <v>01/05 ВС</v>
      </c>
      <c r="B817" s="2" t="str">
        <v>19:00</v>
      </c>
      <c r="C817" s="2" t="str">
        <v>СЕВЕРНАЯ МАКЕДОНИЯ СЕВЕРНАЯ МАКЕДОНИЯ</v>
      </c>
      <c r="D817" s="2" t="str">
        <v>Борец-ФК Скопье</v>
      </c>
      <c r="E817" s="2" t="str">
        <v>-</v>
      </c>
      <c r="F817" s="2" t="str">
        <v>-</v>
      </c>
      <c r="G817" s="2" t="str">
        <v>-</v>
      </c>
    </row>
    <row r="818">
      <c r="A818" s="2" t="str">
        <v>01/05 ВС</v>
      </c>
      <c r="B818" s="2" t="str">
        <v>19:00</v>
      </c>
      <c r="C818" s="2" t="str">
        <v>СЕВЕРНАЯ МАКЕДОНИЯ СЕВЕРНАЯ МАКЕДОНИЯ</v>
      </c>
      <c r="D818" s="2" t="str">
        <v>Македония ГП-Академия Пандев</v>
      </c>
      <c r="E818" s="2" t="str">
        <v>-</v>
      </c>
      <c r="F818" s="2" t="str">
        <v>-</v>
      </c>
      <c r="G818" s="2" t="str">
        <v>-</v>
      </c>
    </row>
    <row r="819">
      <c r="A819" s="2" t="str">
        <v>01/05 ВС</v>
      </c>
      <c r="B819" s="2" t="str">
        <v>19:00</v>
      </c>
      <c r="C819" s="2" t="str">
        <v>СЕВЕРНАЯ МАКЕДОНИЯ СЕВЕРНАЯ МАКЕДОНИЯ</v>
      </c>
      <c r="D819" s="2" t="str">
        <v>Пелистер-Тиквес</v>
      </c>
      <c r="E819" s="2" t="str">
        <v>-</v>
      </c>
      <c r="F819" s="2" t="str">
        <v>-</v>
      </c>
      <c r="G819" s="2" t="str">
        <v>-</v>
      </c>
    </row>
    <row r="820">
      <c r="A820" s="2" t="str">
        <v>01/05 ВС</v>
      </c>
      <c r="B820" s="2" t="str">
        <v>19:00</v>
      </c>
      <c r="C820" s="2" t="str">
        <v>СЕВЕРНАЯ МАКЕДОНИЯ СЕВЕРНАЯ МАКЕДОНИЯ</v>
      </c>
      <c r="D820" s="2" t="str">
        <v>Ренова-Струга</v>
      </c>
      <c r="E820" s="2" t="str">
        <v>-</v>
      </c>
      <c r="F820" s="2" t="str">
        <v>-</v>
      </c>
      <c r="G820" s="2" t="str">
        <v>-</v>
      </c>
    </row>
    <row r="821">
      <c r="A821" s="2" t="str">
        <v>01/05 ВС</v>
      </c>
      <c r="B821" s="2" t="str">
        <v>19:00</v>
      </c>
      <c r="C821" s="2" t="str">
        <v>СЕРБИЯ СЕРБИЯ</v>
      </c>
      <c r="D821" s="2" t="str">
        <v>Войводина-Црвена Звезда</v>
      </c>
      <c r="E821" s="2" t="str">
        <v>-</v>
      </c>
      <c r="F821" s="2" t="str">
        <v>-</v>
      </c>
      <c r="G821" s="2" t="str">
        <v>-</v>
      </c>
    </row>
    <row r="822">
      <c r="A822" s="2" t="str">
        <v>01/05 ВС</v>
      </c>
      <c r="B822" s="2" t="str">
        <v>20:30</v>
      </c>
      <c r="C822" s="2" t="str">
        <v>СЕРБИЯ СЕРБИЯ</v>
      </c>
      <c r="D822" s="2" t="str">
        <v>Бачка-Топола-Вождовац</v>
      </c>
      <c r="E822" s="2" t="str">
        <v>-</v>
      </c>
      <c r="F822" s="2" t="str">
        <v>-</v>
      </c>
      <c r="G822" s="2" t="str">
        <v>-</v>
      </c>
    </row>
    <row r="823">
      <c r="A823" s="2" t="str">
        <v>01/05 ВС</v>
      </c>
      <c r="B823" s="2" t="str">
        <v>21:05</v>
      </c>
      <c r="C823" s="2" t="str">
        <v>СЕРБИЯ СЕРБИЯ</v>
      </c>
      <c r="D823" s="2" t="str">
        <v>Напредак-Партизан</v>
      </c>
      <c r="E823" s="2" t="str">
        <v>-</v>
      </c>
      <c r="F823" s="2" t="str">
        <v>-</v>
      </c>
      <c r="G823" s="2" t="str">
        <v>-</v>
      </c>
    </row>
    <row r="824">
      <c r="A824" s="2" t="str">
        <v>01/05 ВС</v>
      </c>
      <c r="B824" s="2" t="str">
        <v>18:00</v>
      </c>
      <c r="C824" s="2" t="str">
        <v>СЕРБИЯ СЕРБИЯ</v>
      </c>
      <c r="D824" s="2" t="str">
        <v>Рад-Мачва</v>
      </c>
      <c r="E824" s="2" t="str">
        <v>-</v>
      </c>
      <c r="F824" s="2" t="str">
        <v>-</v>
      </c>
      <c r="G824" s="2" t="str">
        <v>-</v>
      </c>
    </row>
    <row r="825">
      <c r="A825" s="2" t="str">
        <v>01/05 ВС</v>
      </c>
      <c r="B825" s="2" t="str">
        <v>18:00</v>
      </c>
      <c r="C825" s="2" t="str">
        <v>СЕРБИЯ СЕРБИЯ</v>
      </c>
      <c r="D825" s="2" t="str">
        <v>Тимок-Бачка</v>
      </c>
      <c r="E825" s="2" t="str">
        <v>-</v>
      </c>
      <c r="F825" s="2" t="str">
        <v>-</v>
      </c>
      <c r="G825" s="2" t="str">
        <v>-</v>
      </c>
    </row>
    <row r="826" xml:space="preserve">
      <c r="A826" s="2" t="str">
        <v>01/05 ВС</v>
      </c>
      <c r="B826" s="2" t="str" xml:space="preserve">
        <v xml:space="preserve">18:30_x000d_
TKP</v>
      </c>
      <c r="C826" s="2" t="str">
        <v>СЕРБИЯ СЕРБИЯ</v>
      </c>
      <c r="D826" s="2" t="str">
        <v>Тиса Адорян-Бечей</v>
      </c>
      <c r="E826" s="2" t="str">
        <v>-</v>
      </c>
      <c r="F826" s="2" t="str">
        <v>-</v>
      </c>
      <c r="G826" s="2" t="str">
        <v>-</v>
      </c>
    </row>
    <row r="827" xml:space="preserve">
      <c r="A827" s="2" t="str">
        <v>01/05 ВС</v>
      </c>
      <c r="B827" s="2" t="str" xml:space="preserve">
        <v xml:space="preserve">18:30_x000d_
TKP</v>
      </c>
      <c r="C827" s="2" t="str">
        <v>СЕРБИЯ СЕРБИЯ</v>
      </c>
      <c r="D827" s="2" t="str">
        <v>Радевац-Sloga 1940</v>
      </c>
      <c r="E827" s="2" t="str">
        <v>-</v>
      </c>
      <c r="F827" s="2" t="str">
        <v>-</v>
      </c>
      <c r="G827" s="2" t="str">
        <v>-</v>
      </c>
    </row>
    <row r="828">
      <c r="A828" s="2" t="str">
        <v>01/05 ВС</v>
      </c>
      <c r="B828" s="2" t="str">
        <v>22:00</v>
      </c>
      <c r="C828" s="2" t="str">
        <v>СЛОВАКИЯ СЛОВАКИЯ</v>
      </c>
      <c r="D828" s="2" t="str">
        <v>Слован Братислава-Спартак Трнава</v>
      </c>
      <c r="E828" s="2" t="str">
        <v>-</v>
      </c>
      <c r="F828" s="2" t="str">
        <v>-</v>
      </c>
      <c r="G828" s="2" t="str">
        <v>-</v>
      </c>
    </row>
    <row r="829">
      <c r="A829" s="2" t="str">
        <v>01/05 ВС</v>
      </c>
      <c r="B829" s="2" t="str">
        <v>12:30</v>
      </c>
      <c r="C829" s="2" t="str">
        <v>СЛОВАКИЯ СЛОВАКИЯ</v>
      </c>
      <c r="D829" s="2" t="str">
        <v>Саморин-Петржалка</v>
      </c>
      <c r="E829" s="2" t="str">
        <v>-</v>
      </c>
      <c r="F829" s="2" t="str">
        <v>-</v>
      </c>
      <c r="G829" s="2" t="str">
        <v>-</v>
      </c>
    </row>
    <row r="830" xml:space="preserve">
      <c r="A830" s="2" t="str">
        <v>01/05 ВС</v>
      </c>
      <c r="B830" s="2" t="str" xml:space="preserve">
        <v xml:space="preserve">18:00_x000d_
TKP</v>
      </c>
      <c r="C830" s="2" t="str">
        <v>СЛОВАКИЯ СЛОВАКИЯ</v>
      </c>
      <c r="D830" s="2" t="str">
        <v>Нитра-Галанта</v>
      </c>
      <c r="E830" s="2" t="str">
        <v>-</v>
      </c>
      <c r="F830" s="2" t="str">
        <v>-</v>
      </c>
      <c r="G830" s="2" t="str">
        <v>-</v>
      </c>
    </row>
    <row r="831" xml:space="preserve">
      <c r="A831" s="2" t="str">
        <v>01/05 ВС</v>
      </c>
      <c r="B831" s="2" t="str" xml:space="preserve">
        <v xml:space="preserve">18:30_x000d_
TKP</v>
      </c>
      <c r="C831" s="2" t="str">
        <v>СЛОВАКИЯ СЛОВАКИЯ</v>
      </c>
      <c r="D831" s="2" t="str">
        <v>Белуша-Кристал</v>
      </c>
      <c r="E831" s="2" t="str">
        <v>-</v>
      </c>
      <c r="F831" s="2" t="str">
        <v>-</v>
      </c>
      <c r="G831" s="2" t="str">
        <v>-</v>
      </c>
    </row>
    <row r="832" xml:space="preserve">
      <c r="A832" s="2" t="str">
        <v>01/05 ВС</v>
      </c>
      <c r="B832" s="2" t="str" xml:space="preserve">
        <v xml:space="preserve">18:30_x000d_
TKP</v>
      </c>
      <c r="C832" s="2" t="str">
        <v>СЛОВАКИЯ СЛОВАКИЯ</v>
      </c>
      <c r="D832" s="2" t="str">
        <v>Младость Калша-Татран Прешов</v>
      </c>
      <c r="E832" s="2" t="str">
        <v>-</v>
      </c>
      <c r="F832" s="2" t="str">
        <v>-</v>
      </c>
      <c r="G832" s="2" t="str">
        <v>-</v>
      </c>
    </row>
    <row r="833" xml:space="preserve">
      <c r="A833" s="2" t="str">
        <v>01/05 ВС</v>
      </c>
      <c r="B833" s="2" t="str" xml:space="preserve">
        <v xml:space="preserve">18:30_x000d_
TKP</v>
      </c>
      <c r="C833" s="2" t="str">
        <v>СЛОВАКИЯ СЛОВАКИЯ</v>
      </c>
      <c r="D833" s="2" t="str">
        <v>Снина-Кромпахи</v>
      </c>
      <c r="E833" s="2" t="str">
        <v>-</v>
      </c>
      <c r="F833" s="2" t="str">
        <v>-</v>
      </c>
      <c r="G833" s="2" t="str">
        <v>-</v>
      </c>
    </row>
    <row r="834" xml:space="preserve">
      <c r="A834" s="2" t="str">
        <v>01/05 ВС</v>
      </c>
      <c r="B834" s="2" t="str" xml:space="preserve">
        <v xml:space="preserve">18:30_x000d_
TKP</v>
      </c>
      <c r="C834" s="2" t="str">
        <v>СЛОВАКИЯ СЛОВАКИЯ</v>
      </c>
      <c r="D834" s="2" t="str">
        <v>Спишске-Подградье-Собранце</v>
      </c>
      <c r="E834" s="2" t="str">
        <v>-</v>
      </c>
      <c r="F834" s="2" t="str">
        <v>-</v>
      </c>
      <c r="G834" s="2" t="str">
        <v>-</v>
      </c>
    </row>
    <row r="835" xml:space="preserve">
      <c r="A835" s="2" t="str">
        <v>01/05 ВС</v>
      </c>
      <c r="B835" s="2" t="str" xml:space="preserve">
        <v xml:space="preserve">18:30_x000d_
TKP</v>
      </c>
      <c r="C835" s="2" t="str">
        <v>СЛОВАКИЯ СЛОВАКИЯ</v>
      </c>
      <c r="D835" s="2" t="str">
        <v>Стропков-Липаны</v>
      </c>
      <c r="E835" s="2" t="str">
        <v>-</v>
      </c>
      <c r="F835" s="2" t="str">
        <v>-</v>
      </c>
      <c r="G835" s="2" t="str">
        <v>-</v>
      </c>
    </row>
    <row r="836" xml:space="preserve">
      <c r="A836" s="2" t="str">
        <v>01/05 ВС</v>
      </c>
      <c r="B836" s="2" t="str" xml:space="preserve">
        <v xml:space="preserve">12:30_x000d_
TKP</v>
      </c>
      <c r="C836" s="2" t="str">
        <v>СЛОВАКИЯ СЛОВАКИЯ</v>
      </c>
      <c r="D836" s="2" t="str">
        <v>Йеднота Банова-Оравске Веселе</v>
      </c>
      <c r="E836" s="2" t="str">
        <v>-</v>
      </c>
      <c r="F836" s="2" t="str">
        <v>-</v>
      </c>
      <c r="G836" s="2" t="str">
        <v>-</v>
      </c>
    </row>
    <row r="837" xml:space="preserve">
      <c r="A837" s="2" t="str">
        <v>01/05 ВС</v>
      </c>
      <c r="B837" s="2" t="str" xml:space="preserve">
        <v xml:space="preserve">18:30_x000d_
TKP</v>
      </c>
      <c r="C837" s="2" t="str">
        <v>СЛОВАКИЯ СЛОВАКИЯ</v>
      </c>
      <c r="D837" s="2" t="str">
        <v>Калиново-МСК Мартин</v>
      </c>
      <c r="E837" s="2" t="str">
        <v>-</v>
      </c>
      <c r="F837" s="2" t="str">
        <v>-</v>
      </c>
      <c r="G837" s="2" t="str">
        <v>-</v>
      </c>
    </row>
    <row r="838" xml:space="preserve">
      <c r="A838" s="2" t="str">
        <v>01/05 ВС</v>
      </c>
      <c r="B838" s="2" t="str" xml:space="preserve">
        <v xml:space="preserve">18:30_x000d_
TKP</v>
      </c>
      <c r="C838" s="2" t="str">
        <v>СЛОВАКИЯ СЛОВАКИЯ</v>
      </c>
      <c r="D838" s="2" t="str">
        <v>Ковачова-Подконице</v>
      </c>
      <c r="E838" s="2" t="str">
        <v>-</v>
      </c>
      <c r="F838" s="2" t="str">
        <v>-</v>
      </c>
      <c r="G838" s="2" t="str">
        <v>-</v>
      </c>
    </row>
    <row r="839" xml:space="preserve">
      <c r="A839" s="2" t="str">
        <v>01/05 ВС</v>
      </c>
      <c r="B839" s="2" t="str" xml:space="preserve">
        <v xml:space="preserve">18:30_x000d_
TKP</v>
      </c>
      <c r="C839" s="2" t="str">
        <v>СЛОВАКИЯ СЛОВАКИЯ</v>
      </c>
      <c r="D839" s="2" t="str">
        <v>Красно-Ракитовце</v>
      </c>
      <c r="E839" s="2" t="str">
        <v>-</v>
      </c>
      <c r="F839" s="2" t="str">
        <v>-</v>
      </c>
      <c r="G839" s="2" t="str">
        <v>-</v>
      </c>
    </row>
    <row r="840" xml:space="preserve">
      <c r="A840" s="2" t="str">
        <v>01/05 ВС</v>
      </c>
      <c r="B840" s="2" t="str" xml:space="preserve">
        <v xml:space="preserve">18:30_x000d_
TKP</v>
      </c>
      <c r="C840" s="2" t="str">
        <v>СЛОВАКИЯ СЛОВАКИЯ</v>
      </c>
      <c r="D840" s="2" t="str">
        <v>Филаково-Римавска Собота</v>
      </c>
      <c r="E840" s="2" t="str">
        <v>-</v>
      </c>
      <c r="F840" s="2" t="str">
        <v>-</v>
      </c>
      <c r="G840" s="2" t="str">
        <v>-</v>
      </c>
    </row>
    <row r="841" xml:space="preserve">
      <c r="A841" s="2" t="str">
        <v>01/05 ВС</v>
      </c>
      <c r="B841" s="2" t="str" xml:space="preserve">
        <v xml:space="preserve">19:00_x000d_
TKP</v>
      </c>
      <c r="C841" s="2" t="str">
        <v>СЛОВАКИЯ СЛОВАКИЯ</v>
      </c>
      <c r="D841" s="2" t="str">
        <v>Девинска Нова Веш-Вракуна Братислава</v>
      </c>
      <c r="E841" s="2" t="str">
        <v>-</v>
      </c>
      <c r="F841" s="2" t="str">
        <v>-</v>
      </c>
      <c r="G841" s="2" t="str">
        <v>-</v>
      </c>
    </row>
    <row r="842" xml:space="preserve">
      <c r="A842" s="2" t="str">
        <v>01/05 ВС</v>
      </c>
      <c r="B842" s="2" t="str" xml:space="preserve">
        <v xml:space="preserve">19:00_x000d_
TKP</v>
      </c>
      <c r="C842" s="2" t="str">
        <v>СЛОВАКИЯ СЛОВАКИЯ</v>
      </c>
      <c r="D842" s="2" t="str">
        <v>Калинково-Рача</v>
      </c>
      <c r="E842" s="2" t="str">
        <v>-</v>
      </c>
      <c r="F842" s="2" t="str">
        <v>-</v>
      </c>
      <c r="G842" s="2" t="str">
        <v>-</v>
      </c>
    </row>
    <row r="843" xml:space="preserve">
      <c r="A843" s="2" t="str">
        <v>01/05 ВС</v>
      </c>
      <c r="B843" s="2" t="str" xml:space="preserve">
        <v xml:space="preserve">19:00_x000d_
TKP</v>
      </c>
      <c r="C843" s="2" t="str">
        <v>СЛОВАКИЯ СЛОВАКИЯ</v>
      </c>
      <c r="D843" s="2" t="str">
        <v>Малацки-Русовце</v>
      </c>
      <c r="E843" s="2" t="str">
        <v>-</v>
      </c>
      <c r="F843" s="2" t="str">
        <v>-</v>
      </c>
      <c r="G843" s="2" t="str">
        <v>-</v>
      </c>
    </row>
    <row r="844" xml:space="preserve">
      <c r="A844" s="2" t="str">
        <v>01/05 ВС</v>
      </c>
      <c r="B844" s="2" t="str" xml:space="preserve">
        <v xml:space="preserve">19:00_x000d_
TKP</v>
      </c>
      <c r="C844" s="2" t="str">
        <v>СЛОВАКИЯ СЛОВАКИЯ</v>
      </c>
      <c r="D844" s="2" t="str">
        <v>Нова Дединка-Пезинок</v>
      </c>
      <c r="E844" s="2" t="str">
        <v>-</v>
      </c>
      <c r="F844" s="2" t="str">
        <v>-</v>
      </c>
      <c r="G844" s="2" t="str">
        <v>-</v>
      </c>
    </row>
    <row r="845" xml:space="preserve">
      <c r="A845" s="2" t="str">
        <v>01/05 ВС</v>
      </c>
      <c r="B845" s="2" t="str" xml:space="preserve">
        <v xml:space="preserve">19:00_x000d_
TKP</v>
      </c>
      <c r="C845" s="2" t="str">
        <v>СЛОВАКИЯ СЛОВАКИЯ</v>
      </c>
      <c r="D845" s="2" t="str">
        <v>Ровинка-Бернолаково</v>
      </c>
      <c r="E845" s="2" t="str">
        <v>-</v>
      </c>
      <c r="F845" s="2" t="str">
        <v>-</v>
      </c>
      <c r="G845" s="2" t="str">
        <v>-</v>
      </c>
    </row>
    <row r="846" xml:space="preserve">
      <c r="A846" s="2" t="str">
        <v>01/05 ВС</v>
      </c>
      <c r="B846" s="2" t="str" xml:space="preserve">
        <v xml:space="preserve">19:00_x000d_
TKP</v>
      </c>
      <c r="C846" s="2" t="str">
        <v>СЛОВАКИЯ СЛОВАКИЯ</v>
      </c>
      <c r="D846" s="2" t="str">
        <v>Томашов-Слован Мост</v>
      </c>
      <c r="E846" s="2" t="str">
        <v>-</v>
      </c>
      <c r="F846" s="2" t="str">
        <v>-</v>
      </c>
      <c r="G846" s="2" t="str">
        <v>-</v>
      </c>
    </row>
    <row r="847">
      <c r="A847" s="2" t="str">
        <v>01/05 ВС</v>
      </c>
      <c r="B847" s="2" t="str">
        <v>19:30</v>
      </c>
      <c r="C847" s="2" t="str">
        <v>СЛОВЕНИЯ СЛОВЕНИЯ</v>
      </c>
      <c r="D847" s="2" t="str">
        <v>Домжале-Алуминий</v>
      </c>
      <c r="E847" s="2" t="str">
        <v>-</v>
      </c>
      <c r="F847" s="2" t="str">
        <v>-</v>
      </c>
      <c r="G847" s="2" t="str">
        <v>-</v>
      </c>
    </row>
    <row r="848">
      <c r="A848" s="2" t="str">
        <v>01/05 ВС</v>
      </c>
      <c r="B848" s="2" t="str">
        <v>22:15</v>
      </c>
      <c r="C848" s="2" t="str">
        <v>СЛОВЕНИЯ СЛОВЕНИЯ</v>
      </c>
      <c r="D848" s="2" t="str">
        <v>Олимпия Любляна-Браво</v>
      </c>
      <c r="E848" s="2" t="str">
        <v>-</v>
      </c>
      <c r="F848" s="2" t="str">
        <v>-</v>
      </c>
      <c r="G848" s="2" t="str">
        <v>-</v>
      </c>
    </row>
    <row r="849" xml:space="preserve">
      <c r="A849" s="2" t="str">
        <v>01/05 ВС</v>
      </c>
      <c r="B849" s="2" t="str" xml:space="preserve">
        <v xml:space="preserve">13:00_x000d_
TKP</v>
      </c>
      <c r="C849" s="2" t="str">
        <v>СЛОВЕНИЯ СЛОВЕНИЯ</v>
      </c>
      <c r="D849" s="2" t="str">
        <v>Птуй (Ж)-Приморье (Ж)</v>
      </c>
      <c r="E849" s="2" t="str">
        <v>-</v>
      </c>
      <c r="F849" s="2" t="str">
        <v>-</v>
      </c>
      <c r="G849" s="2" t="str">
        <v>-</v>
      </c>
    </row>
    <row r="850" xml:space="preserve">
      <c r="A850" s="2" t="str">
        <v>01/05 ВС</v>
      </c>
      <c r="B850" s="2" t="str" xml:space="preserve">
        <v xml:space="preserve">13:00_x000d_
TKP</v>
      </c>
      <c r="C850" s="2" t="str">
        <v>СЛОВЕНИЯ СЛОВЕНИЯ</v>
      </c>
      <c r="D850" s="2" t="str">
        <v>Церкле (Ж)-Помурье (Ж)</v>
      </c>
      <c r="E850" s="2" t="str">
        <v>-</v>
      </c>
      <c r="F850" s="2" t="str">
        <v>-</v>
      </c>
      <c r="G850" s="2" t="str">
        <v>-</v>
      </c>
    </row>
    <row r="851" xml:space="preserve">
      <c r="A851" s="2" t="str">
        <v>01/05 ВС</v>
      </c>
      <c r="B851" s="2" t="str" xml:space="preserve">
        <v xml:space="preserve">19:00_x000d_
TKP</v>
      </c>
      <c r="C851" s="2" t="str">
        <v>СЛОВЕНИЯ СЛОВЕНИЯ</v>
      </c>
      <c r="D851" s="2" t="str">
        <v>ЗНК Любляна (Ж)-Крим (Ж)</v>
      </c>
      <c r="E851" s="2" t="str">
        <v>-</v>
      </c>
      <c r="F851" s="2" t="str">
        <v>-</v>
      </c>
      <c r="G851" s="2" t="str">
        <v>-</v>
      </c>
    </row>
    <row r="852" xml:space="preserve">
      <c r="A852" s="2" t="str">
        <v>01/05 ВС</v>
      </c>
      <c r="B852" s="2" t="str" xml:space="preserve">
        <v xml:space="preserve">19:00_x000d_
TKP</v>
      </c>
      <c r="C852" s="2" t="str">
        <v>СЛОВЕНИЯ СЛОВЕНИЯ</v>
      </c>
      <c r="D852" s="2" t="str">
        <v>Радомлье (Ж)-Олимпия Любляна (Ж)</v>
      </c>
      <c r="E852" s="2" t="str">
        <v>-</v>
      </c>
      <c r="F852" s="2" t="str">
        <v>-</v>
      </c>
      <c r="G852" s="2" t="str">
        <v>-</v>
      </c>
    </row>
    <row r="853">
      <c r="A853" s="2" t="str">
        <v>01/05 ВС</v>
      </c>
      <c r="B853" s="2" t="str">
        <v>00:00</v>
      </c>
      <c r="C853" s="2" t="str">
        <v>США США</v>
      </c>
      <c r="D853" s="2" t="str">
        <v>Монреаль-Атланта</v>
      </c>
      <c r="E853" s="2" t="str">
        <v>2.10</v>
      </c>
      <c r="F853" s="2" t="str">
        <v>3.50</v>
      </c>
      <c r="G853" s="2" t="str">
        <v>3.40</v>
      </c>
    </row>
    <row r="854">
      <c r="A854" s="2" t="str">
        <v>01/05 ВС</v>
      </c>
      <c r="B854" s="2" t="str">
        <v>03:30</v>
      </c>
      <c r="C854" s="2" t="str">
        <v>США США</v>
      </c>
      <c r="D854" s="2" t="str">
        <v>Коламбус Крю-ДС Юнайтед</v>
      </c>
      <c r="E854" s="2" t="str">
        <v>1.66</v>
      </c>
      <c r="F854" s="2" t="str">
        <v>3.75</v>
      </c>
      <c r="G854" s="2" t="str">
        <v>5.50</v>
      </c>
    </row>
    <row r="855">
      <c r="A855" s="2" t="str">
        <v>01/05 ВС</v>
      </c>
      <c r="B855" s="2" t="str">
        <v>03:30</v>
      </c>
      <c r="C855" s="2" t="str">
        <v>США США</v>
      </c>
      <c r="D855" s="2" t="str">
        <v>Нью-Инглэнд Революшн-Интер Майами</v>
      </c>
      <c r="E855" s="2" t="str">
        <v>1.50</v>
      </c>
      <c r="F855" s="2" t="str">
        <v>4.50</v>
      </c>
      <c r="G855" s="2" t="str">
        <v>6.50</v>
      </c>
    </row>
    <row r="856">
      <c r="A856" s="2" t="str">
        <v>01/05 ВС</v>
      </c>
      <c r="B856" s="2" t="str">
        <v>03:30</v>
      </c>
      <c r="C856" s="2" t="str">
        <v>США США</v>
      </c>
      <c r="D856" s="2" t="str">
        <v>Орландо Сити-Шарлотт</v>
      </c>
      <c r="E856" s="2" t="str">
        <v>1.72</v>
      </c>
      <c r="F856" s="2" t="str">
        <v>3.60</v>
      </c>
      <c r="G856" s="2" t="str">
        <v>5.00</v>
      </c>
    </row>
    <row r="857">
      <c r="A857" s="2" t="str">
        <v>01/05 ВС</v>
      </c>
      <c r="B857" s="2" t="str">
        <v>04:00</v>
      </c>
      <c r="C857" s="2" t="str">
        <v>США США</v>
      </c>
      <c r="D857" s="2" t="str">
        <v>Чикаго Файр-Нью-Йорк Ред Буллс</v>
      </c>
      <c r="E857" s="2" t="str">
        <v>3.00</v>
      </c>
      <c r="F857" s="2" t="str">
        <v>3.10</v>
      </c>
      <c r="G857" s="2" t="str">
        <v>2.50</v>
      </c>
    </row>
    <row r="858">
      <c r="A858" s="2" t="str">
        <v>01/05 ВС</v>
      </c>
      <c r="B858" s="2" t="str">
        <v>04:30</v>
      </c>
      <c r="C858" s="2" t="str">
        <v>США США</v>
      </c>
      <c r="D858" s="2" t="str">
        <v>Спортинг Канзас-Сити-Даллас</v>
      </c>
      <c r="E858" s="2" t="str">
        <v>2.25</v>
      </c>
      <c r="F858" s="2" t="str">
        <v>3.25</v>
      </c>
      <c r="G858" s="2" t="str">
        <v>3.30</v>
      </c>
    </row>
    <row r="859">
      <c r="A859" s="2" t="str">
        <v>01/05 ВС</v>
      </c>
      <c r="B859" s="2" t="str">
        <v>05:00</v>
      </c>
      <c r="C859" s="2" t="str">
        <v>США США</v>
      </c>
      <c r="D859" s="2" t="str">
        <v>Колорадо Рэпидс-Портленд Тимберс</v>
      </c>
      <c r="E859" s="2" t="str">
        <v>1.75</v>
      </c>
      <c r="F859" s="2" t="str">
        <v>3.75</v>
      </c>
      <c r="G859" s="2" t="str">
        <v>4.60</v>
      </c>
    </row>
    <row r="860">
      <c r="A860" s="2" t="str">
        <v>01/05 ВС</v>
      </c>
      <c r="B860" s="2" t="str">
        <v>21:00</v>
      </c>
      <c r="C860" s="2" t="str">
        <v>США США</v>
      </c>
      <c r="D860" s="2" t="str">
        <v>Нью-Йорк Сити-Сан-Хосе Эртквейкс</v>
      </c>
      <c r="E860" s="2" t="str">
        <v>1.36</v>
      </c>
      <c r="F860" s="2" t="str">
        <v>5.00</v>
      </c>
      <c r="G860" s="2" t="str">
        <v>8.00</v>
      </c>
    </row>
    <row r="861">
      <c r="A861" s="2" t="str">
        <v>01/05 ВС</v>
      </c>
      <c r="B861" s="2" t="str">
        <v>00:00</v>
      </c>
      <c r="C861" s="2" t="str">
        <v>США США</v>
      </c>
      <c r="D861" s="2" t="str">
        <v>Детройт-Нью-Йорк 2</v>
      </c>
      <c r="E861" s="2" t="str">
        <v>-</v>
      </c>
      <c r="F861" s="2" t="str">
        <v>-</v>
      </c>
      <c r="G861" s="2" t="str">
        <v>-</v>
      </c>
    </row>
    <row r="862">
      <c r="A862" s="2" t="str">
        <v>01/05 ВС</v>
      </c>
      <c r="B862" s="2" t="str">
        <v>02:00</v>
      </c>
      <c r="C862" s="2" t="str">
        <v>США США</v>
      </c>
      <c r="D862" s="2" t="str">
        <v>Лаудон-Эль-Пасо Локомотив</v>
      </c>
      <c r="E862" s="2" t="str">
        <v>-</v>
      </c>
      <c r="F862" s="2" t="str">
        <v>-</v>
      </c>
      <c r="G862" s="2" t="str">
        <v>-</v>
      </c>
    </row>
    <row r="863">
      <c r="A863" s="2" t="str">
        <v>01/05 ВС</v>
      </c>
      <c r="B863" s="2" t="str">
        <v>03:00</v>
      </c>
      <c r="C863" s="2" t="str">
        <v>США США</v>
      </c>
      <c r="D863" s="2" t="str">
        <v>Инди Элевен-Хартфорд Атлетик</v>
      </c>
      <c r="E863" s="2" t="str">
        <v>-</v>
      </c>
      <c r="F863" s="2" t="str">
        <v>-</v>
      </c>
      <c r="G863" s="2" t="str">
        <v>-</v>
      </c>
    </row>
    <row r="864">
      <c r="A864" s="2" t="str">
        <v>01/05 ВС</v>
      </c>
      <c r="B864" s="2" t="str">
        <v>03:30</v>
      </c>
      <c r="C864" s="2" t="str">
        <v>США США</v>
      </c>
      <c r="D864" s="2" t="str">
        <v>Луисвилл Сити-Питтсбург</v>
      </c>
      <c r="E864" s="2" t="str">
        <v>-</v>
      </c>
      <c r="F864" s="2" t="str">
        <v>-</v>
      </c>
      <c r="G864" s="2" t="str">
        <v>-</v>
      </c>
    </row>
    <row r="865">
      <c r="A865" s="2" t="str">
        <v>01/05 ВС</v>
      </c>
      <c r="B865" s="2" t="str">
        <v>03:30</v>
      </c>
      <c r="C865" s="2" t="str">
        <v>США США</v>
      </c>
      <c r="D865" s="2" t="str">
        <v>Тампа Бэй-Сан-Диего Лойял</v>
      </c>
      <c r="E865" s="2" t="str">
        <v>-</v>
      </c>
      <c r="F865" s="2" t="str">
        <v>-</v>
      </c>
      <c r="G865" s="2" t="str">
        <v>-</v>
      </c>
    </row>
    <row r="866">
      <c r="A866" s="2" t="str">
        <v>01/05 ВС</v>
      </c>
      <c r="B866" s="2" t="str">
        <v>04:00</v>
      </c>
      <c r="C866" s="2" t="str">
        <v>США США</v>
      </c>
      <c r="D866" s="2" t="str">
        <v>Мемфис-Майами</v>
      </c>
      <c r="E866" s="2" t="str">
        <v>-</v>
      </c>
      <c r="F866" s="2" t="str">
        <v>-</v>
      </c>
      <c r="G866" s="2" t="str">
        <v>-</v>
      </c>
    </row>
    <row r="867">
      <c r="A867" s="2" t="str">
        <v>01/05 ВС</v>
      </c>
      <c r="B867" s="2" t="str">
        <v>04:30</v>
      </c>
      <c r="C867" s="2" t="str">
        <v>США США</v>
      </c>
      <c r="D867" s="2" t="str">
        <v>Рио-Гранде-Оранж Каунти СК</v>
      </c>
      <c r="E867" s="2" t="str">
        <v>-</v>
      </c>
      <c r="F867" s="2" t="str">
        <v>-</v>
      </c>
      <c r="G867" s="2" t="str">
        <v>-</v>
      </c>
    </row>
    <row r="868">
      <c r="A868" s="2" t="str">
        <v>01/05 ВС</v>
      </c>
      <c r="B868" s="2" t="str">
        <v>04:30</v>
      </c>
      <c r="C868" s="2" t="str">
        <v>США США</v>
      </c>
      <c r="D868" s="2" t="str">
        <v>Сан-Антонио-Монтерей Бэй</v>
      </c>
      <c r="E868" s="2" t="str">
        <v>-</v>
      </c>
      <c r="F868" s="2" t="str">
        <v>-</v>
      </c>
      <c r="G868" s="2" t="str">
        <v>-</v>
      </c>
    </row>
    <row r="869">
      <c r="A869" s="2" t="str">
        <v>01/05 ВС</v>
      </c>
      <c r="B869" s="2" t="str">
        <v>06:00</v>
      </c>
      <c r="C869" s="2" t="str">
        <v>США США</v>
      </c>
      <c r="D869" s="2" t="str">
        <v>Окленд Рутс-Колорадо Спрингс</v>
      </c>
      <c r="E869" s="2" t="str">
        <v>-</v>
      </c>
      <c r="F869" s="2" t="str">
        <v>-</v>
      </c>
      <c r="G869" s="2" t="str">
        <v>-</v>
      </c>
    </row>
    <row r="870">
      <c r="A870" s="2" t="str">
        <v>01/05 ВС</v>
      </c>
      <c r="B870" s="2" t="str">
        <v>06:00</v>
      </c>
      <c r="C870" s="2" t="str">
        <v>США США</v>
      </c>
      <c r="D870" s="2" t="str">
        <v>Сакраменто Репаблик-Лас-Вегас Лайтс</v>
      </c>
      <c r="E870" s="2" t="str">
        <v>-</v>
      </c>
      <c r="F870" s="2" t="str">
        <v>-</v>
      </c>
      <c r="G870" s="2" t="str">
        <v>-</v>
      </c>
    </row>
    <row r="871">
      <c r="A871" s="2" t="str">
        <v>01/05 ВС</v>
      </c>
      <c r="B871" s="2" t="str">
        <v>00:00</v>
      </c>
      <c r="C871" s="2" t="str">
        <v>США США</v>
      </c>
      <c r="D871" s="2" t="str">
        <v>Филадельфия II-Нью-Йорк Сити II</v>
      </c>
      <c r="E871" s="2" t="str">
        <v>-</v>
      </c>
      <c r="F871" s="2" t="str">
        <v>-</v>
      </c>
      <c r="G871" s="2" t="str">
        <v>-</v>
      </c>
    </row>
    <row r="872">
      <c r="A872" s="2" t="str">
        <v>01/05 ВС</v>
      </c>
      <c r="B872" s="2" t="str">
        <v>02:00</v>
      </c>
      <c r="C872" s="2" t="str">
        <v>США США</v>
      </c>
      <c r="D872" s="2" t="str">
        <v>Ванкувер 2-Сан-Хосе Эртквейкс II</v>
      </c>
      <c r="E872" s="2" t="str">
        <v>-</v>
      </c>
      <c r="F872" s="2" t="str">
        <v>-</v>
      </c>
      <c r="G872" s="2" t="str">
        <v>-</v>
      </c>
    </row>
    <row r="873">
      <c r="A873" s="2" t="str">
        <v>01/05 ВС</v>
      </c>
      <c r="B873" s="2" t="str">
        <v>02:00</v>
      </c>
      <c r="C873" s="2" t="str">
        <v>США США</v>
      </c>
      <c r="D873" s="2" t="str">
        <v>Торонто II-Цинциннати 2</v>
      </c>
      <c r="E873" s="2" t="str">
        <v>-</v>
      </c>
      <c r="F873" s="2" t="str">
        <v>-</v>
      </c>
      <c r="G873" s="2" t="str">
        <v>-</v>
      </c>
    </row>
    <row r="874">
      <c r="A874" s="2" t="str">
        <v>01/05 ВС</v>
      </c>
      <c r="B874" s="2" t="str">
        <v>21:00</v>
      </c>
      <c r="C874" s="2" t="str">
        <v>США США</v>
      </c>
      <c r="D874" s="2" t="str">
        <v>Нью-Инглэнд Революшн II-Интер Майами II</v>
      </c>
      <c r="E874" s="2" t="str">
        <v>-</v>
      </c>
      <c r="F874" s="2" t="str">
        <v>-</v>
      </c>
      <c r="G874" s="2" t="str">
        <v>-</v>
      </c>
    </row>
    <row r="875">
      <c r="A875" s="2" t="str">
        <v>01/05 ВС</v>
      </c>
      <c r="B875" s="2" t="str">
        <v>22:00</v>
      </c>
      <c r="C875" s="2" t="str">
        <v>США США</v>
      </c>
      <c r="D875" s="2" t="str">
        <v>Колорадо Рэпидс 2-Портленд Тимберс 2</v>
      </c>
      <c r="E875" s="2" t="str">
        <v>-</v>
      </c>
      <c r="F875" s="2" t="str">
        <v>-</v>
      </c>
      <c r="G875" s="2" t="str">
        <v>-</v>
      </c>
    </row>
    <row r="876">
      <c r="A876" s="2" t="str">
        <v>01/05 ВС</v>
      </c>
      <c r="B876" s="2" t="str">
        <v>02:00</v>
      </c>
      <c r="C876" s="2" t="str">
        <v>США США</v>
      </c>
      <c r="D876" s="2" t="str">
        <v>Форвард Мэдисон-Централ Валли Фуэго</v>
      </c>
      <c r="E876" s="2" t="str">
        <v>-</v>
      </c>
      <c r="F876" s="2" t="str">
        <v>-</v>
      </c>
      <c r="G876" s="2" t="str">
        <v>-</v>
      </c>
    </row>
    <row r="877">
      <c r="A877" s="2" t="str">
        <v>01/05 ВС</v>
      </c>
      <c r="B877" s="2" t="str">
        <v>03:00</v>
      </c>
      <c r="C877" s="2" t="str">
        <v>США США</v>
      </c>
      <c r="D877" s="2" t="str">
        <v>Северная Каролина-Нортерн Колорадо</v>
      </c>
      <c r="E877" s="2" t="str">
        <v>-</v>
      </c>
      <c r="F877" s="2" t="str">
        <v>-</v>
      </c>
      <c r="G877" s="2" t="str">
        <v>-</v>
      </c>
    </row>
    <row r="878">
      <c r="A878" s="2" t="str">
        <v>01/05 ВС</v>
      </c>
      <c r="B878" s="2" t="str">
        <v>03:00</v>
      </c>
      <c r="C878" s="2" t="str">
        <v>США США</v>
      </c>
      <c r="D878" s="2" t="str">
        <v>Шарлотт Индепенд.-Юнион Омаха</v>
      </c>
      <c r="E878" s="2" t="str">
        <v>-</v>
      </c>
      <c r="F878" s="2" t="str">
        <v>-</v>
      </c>
      <c r="G878" s="2" t="str">
        <v>-</v>
      </c>
    </row>
    <row r="879">
      <c r="A879" s="2" t="str">
        <v>01/05 ВС</v>
      </c>
      <c r="B879" s="2" t="str">
        <v>06:00</v>
      </c>
      <c r="C879" s="2" t="str">
        <v>США США</v>
      </c>
      <c r="D879" s="2" t="str">
        <v>Тусон-Тормента</v>
      </c>
      <c r="E879" s="2" t="str">
        <v>-</v>
      </c>
      <c r="F879" s="2" t="str">
        <v>-</v>
      </c>
      <c r="G879" s="2" t="str">
        <v>-</v>
      </c>
    </row>
    <row r="880">
      <c r="A880" s="2" t="str">
        <v>01/05 ВС</v>
      </c>
      <c r="B880" s="2" t="str">
        <v>03:00</v>
      </c>
      <c r="C880" s="2" t="str">
        <v>США США</v>
      </c>
      <c r="D880" s="2" t="str">
        <v>Мэрилэнд Бобкэтс-Мичиган Старз</v>
      </c>
      <c r="E880" s="2" t="str">
        <v>-</v>
      </c>
      <c r="F880" s="2" t="str">
        <v>-</v>
      </c>
      <c r="G880" s="2" t="str">
        <v>-</v>
      </c>
    </row>
    <row r="881">
      <c r="A881" s="2" t="str">
        <v>01/05 ВС</v>
      </c>
      <c r="B881" s="2" t="str">
        <v>03:30</v>
      </c>
      <c r="C881" s="2" t="str">
        <v>США США</v>
      </c>
      <c r="D881" s="2" t="str">
        <v>Чаттануго-Flower City</v>
      </c>
      <c r="E881" s="2" t="str">
        <v>-</v>
      </c>
      <c r="F881" s="2" t="str">
        <v>-</v>
      </c>
      <c r="G881" s="2" t="str">
        <v>-</v>
      </c>
    </row>
    <row r="882">
      <c r="A882" s="2" t="str">
        <v>01/05 ВС</v>
      </c>
      <c r="B882" s="2" t="str">
        <v>06:00</v>
      </c>
      <c r="C882" s="2" t="str">
        <v>США США</v>
      </c>
      <c r="D882" s="2" t="str">
        <v>Bay Cities-Albion San Diego</v>
      </c>
      <c r="E882" s="2" t="str">
        <v>-</v>
      </c>
      <c r="F882" s="2" t="str">
        <v>-</v>
      </c>
      <c r="G882" s="2" t="str">
        <v>-</v>
      </c>
    </row>
    <row r="883">
      <c r="A883" s="2" t="str">
        <v>01/05 ВС</v>
      </c>
      <c r="B883" s="2" t="str">
        <v>02:00</v>
      </c>
      <c r="C883" s="2" t="str">
        <v>США США</v>
      </c>
      <c r="D883" s="2" t="str">
        <v>Портленд (Ж)-Kansas City Current (Ж)</v>
      </c>
      <c r="E883" s="2" t="str">
        <v>-</v>
      </c>
      <c r="F883" s="2" t="str">
        <v>-</v>
      </c>
      <c r="G883" s="2" t="str">
        <v>-</v>
      </c>
    </row>
    <row r="884">
      <c r="A884" s="2" t="str">
        <v>01/05 ВС</v>
      </c>
      <c r="B884" s="2" t="str">
        <v>04:00</v>
      </c>
      <c r="C884" s="2" t="str">
        <v>США США</v>
      </c>
      <c r="D884" s="2" t="str">
        <v>Чикаго (Ж)-Рэйсинг Луисвилл (Ж)</v>
      </c>
      <c r="E884" s="2" t="str">
        <v>-</v>
      </c>
      <c r="F884" s="2" t="str">
        <v>-</v>
      </c>
      <c r="G884" s="2" t="str">
        <v>-</v>
      </c>
    </row>
    <row r="885" xml:space="preserve">
      <c r="A885" s="2" t="str">
        <v>01/05 ВС</v>
      </c>
      <c r="B885" s="2" t="str" xml:space="preserve">
        <v xml:space="preserve">20:15_x000d_
TKP</v>
      </c>
      <c r="C885" s="2" t="str">
        <v>СЬЕРРА-ЛЕОНЕ СЬЕРРА-ЛЕОНЕ</v>
      </c>
      <c r="D885" s="2" t="str">
        <v>Даймонд Старз-Портс Ауторити</v>
      </c>
      <c r="E885" s="2" t="str">
        <v>-</v>
      </c>
      <c r="F885" s="2" t="str">
        <v>-</v>
      </c>
      <c r="G885" s="2" t="str">
        <v>-</v>
      </c>
    </row>
    <row r="886" xml:space="preserve">
      <c r="A886" s="2" t="str">
        <v>01/05 ВС</v>
      </c>
      <c r="B886" s="2" t="str" xml:space="preserve">
        <v xml:space="preserve">20:15_x000d_
TKP</v>
      </c>
      <c r="C886" s="2" t="str">
        <v>СЬЕРРА-ЛЕОНЕ СЬЕРРА-ЛЕОНЕ</v>
      </c>
      <c r="D886" s="2" t="str">
        <v>Ист энд Тайгерс-Фритаун Сити</v>
      </c>
      <c r="E886" s="2" t="str">
        <v>-</v>
      </c>
      <c r="F886" s="2" t="str">
        <v>-</v>
      </c>
      <c r="G886" s="2" t="str">
        <v>-</v>
      </c>
    </row>
    <row r="887">
      <c r="A887" s="2" t="str">
        <v>01/05 ВС</v>
      </c>
      <c r="B887" s="2" t="str">
        <v>16:00</v>
      </c>
      <c r="C887" s="2" t="str">
        <v>ТАДЖИКИСТАН ТАДЖИКИСТАН</v>
      </c>
      <c r="D887" s="2" t="str">
        <v>Равшан Зафарабад-Истаравшан</v>
      </c>
      <c r="E887" s="2" t="str">
        <v>-</v>
      </c>
      <c r="F887" s="2" t="str">
        <v>-</v>
      </c>
      <c r="G887" s="2" t="str">
        <v>-</v>
      </c>
    </row>
    <row r="888">
      <c r="A888" s="2" t="str">
        <v>01/05 ВС</v>
      </c>
      <c r="B888" s="2" t="str">
        <v>16:00</v>
      </c>
      <c r="C888" s="2" t="str">
        <v>ТАДЖИКИСТАН ТАДЖИКИСТАН</v>
      </c>
      <c r="D888" s="2" t="str">
        <v>Регар-ТадАЗ-Эсхата</v>
      </c>
      <c r="E888" s="2" t="str">
        <v>-</v>
      </c>
      <c r="F888" s="2" t="str">
        <v>-</v>
      </c>
      <c r="G888" s="2" t="str">
        <v>-</v>
      </c>
    </row>
    <row r="889">
      <c r="A889" s="2" t="str">
        <v>01/05 ВС</v>
      </c>
      <c r="B889" s="2" t="str">
        <v>15:00</v>
      </c>
      <c r="C889" s="2" t="str">
        <v>ТАИЛАНД ТАИЛАНД</v>
      </c>
      <c r="D889" s="2" t="str">
        <v>Бангкок Юнайтед-Супханбури</v>
      </c>
      <c r="E889" s="2" t="str">
        <v>-</v>
      </c>
      <c r="F889" s="2" t="str">
        <v>-</v>
      </c>
      <c r="G889" s="2" t="str">
        <v>-</v>
      </c>
    </row>
    <row r="890">
      <c r="A890" s="2" t="str">
        <v>01/05 ВС</v>
      </c>
      <c r="B890" s="2" t="str">
        <v>15:00</v>
      </c>
      <c r="C890" s="2" t="str">
        <v>ТАИЛАНД ТАИЛАНД</v>
      </c>
      <c r="D890" s="2" t="str">
        <v>Нахон Ратчасима-Муангтонг Юнайтед</v>
      </c>
      <c r="E890" s="2" t="str">
        <v>-</v>
      </c>
      <c r="F890" s="2" t="str">
        <v>-</v>
      </c>
      <c r="G890" s="2" t="str">
        <v>-</v>
      </c>
    </row>
    <row r="891">
      <c r="A891" s="2" t="str">
        <v>01/05 ВС</v>
      </c>
      <c r="B891" s="2" t="str">
        <v>16:00</v>
      </c>
      <c r="C891" s="2" t="str">
        <v>ТАИЛАНД ТАИЛАНД</v>
      </c>
      <c r="D891" s="2" t="str">
        <v>Порт Эм-Ти-Ай-Нонг Буа</v>
      </c>
      <c r="E891" s="2" t="str">
        <v>-</v>
      </c>
      <c r="F891" s="2" t="str">
        <v>-</v>
      </c>
      <c r="G891" s="2" t="str">
        <v>-</v>
      </c>
    </row>
    <row r="892">
      <c r="A892" s="2" t="str">
        <v>01/05 ВС</v>
      </c>
      <c r="B892" s="2" t="str">
        <v>11:30</v>
      </c>
      <c r="C892" s="2" t="str">
        <v>ТАЙВАНЬ ТАЙВАНЬ</v>
      </c>
      <c r="D892" s="2" t="str">
        <v>Тайвань Стил-Хан Юэнь</v>
      </c>
      <c r="E892" s="2" t="str">
        <v>-</v>
      </c>
      <c r="F892" s="2" t="str">
        <v>-</v>
      </c>
      <c r="G892" s="2" t="str">
        <v>-</v>
      </c>
    </row>
    <row r="893">
      <c r="A893" s="2" t="str">
        <v>01/05 ВС</v>
      </c>
      <c r="B893" s="2" t="str">
        <v>12:00</v>
      </c>
      <c r="C893" s="2" t="str">
        <v>ТАЙВАНЬ ТАЙВАНЬ</v>
      </c>
      <c r="D893" s="2" t="str">
        <v>АК Тайпей-Тайчун</v>
      </c>
      <c r="E893" s="2" t="str">
        <v>-</v>
      </c>
      <c r="F893" s="2" t="str">
        <v>-</v>
      </c>
      <c r="G893" s="2" t="str">
        <v>-</v>
      </c>
    </row>
    <row r="894">
      <c r="A894" s="2" t="str">
        <v>01/05 ВС</v>
      </c>
      <c r="B894" s="2" t="str">
        <v>15:00</v>
      </c>
      <c r="C894" s="2" t="str">
        <v>ТАЙВАНЬ ТАЙВАНЬ</v>
      </c>
      <c r="D894" s="2" t="str">
        <v>Университет Мин Чуан-Тайпауэр</v>
      </c>
      <c r="E894" s="2" t="str">
        <v>-</v>
      </c>
      <c r="F894" s="2" t="str">
        <v>-</v>
      </c>
      <c r="G894" s="2" t="str">
        <v>-</v>
      </c>
    </row>
    <row r="895">
      <c r="A895" s="2" t="str">
        <v>01/05 ВС</v>
      </c>
      <c r="B895" s="2" t="str">
        <v>17:00</v>
      </c>
      <c r="C895" s="2" t="str">
        <v>ТАНЗАНИЯ ТАНЗАНИЯ</v>
      </c>
      <c r="D895" s="2" t="str">
        <v>Танзания Призонс-Полиси Танзания</v>
      </c>
      <c r="E895" s="2" t="str">
        <v>-</v>
      </c>
      <c r="F895" s="2" t="str">
        <v>-</v>
      </c>
      <c r="G895" s="2" t="str">
        <v>-</v>
      </c>
    </row>
    <row r="896" xml:space="preserve">
      <c r="A896" s="2" t="str">
        <v>01/05 ВС</v>
      </c>
      <c r="B896" s="2" t="str" xml:space="preserve">
        <v xml:space="preserve">19:00_x000d_
TKP</v>
      </c>
      <c r="C896" s="2" t="str">
        <v>ТОГО ТОГО</v>
      </c>
      <c r="D896" s="2" t="str">
        <v>Кара-Binah</v>
      </c>
      <c r="E896" s="2" t="str">
        <v>-</v>
      </c>
      <c r="F896" s="2" t="str">
        <v>-</v>
      </c>
      <c r="G896" s="2" t="str">
        <v>-</v>
      </c>
    </row>
    <row r="897">
      <c r="A897" s="2" t="str">
        <v>01/05 ВС</v>
      </c>
      <c r="B897" s="2" t="str">
        <v>17:00</v>
      </c>
      <c r="C897" s="2" t="str">
        <v>ТУРЦИЯ ТУРЦИЯ</v>
      </c>
      <c r="D897" s="2" t="str">
        <v>Аланьяспор-Йени Малатьяспор</v>
      </c>
      <c r="E897" s="2" t="str">
        <v>1.25</v>
      </c>
      <c r="F897" s="2" t="str">
        <v>5.25</v>
      </c>
      <c r="G897" s="2" t="str">
        <v>10.00</v>
      </c>
    </row>
    <row r="898">
      <c r="A898" s="2" t="str">
        <v>01/05 ВС</v>
      </c>
      <c r="B898" s="2" t="str">
        <v>17:00</v>
      </c>
      <c r="C898" s="2" t="str">
        <v>ТУРЦИЯ ТУРЦИЯ</v>
      </c>
      <c r="D898" s="2" t="str">
        <v>Кайсериспор-Бешикташ</v>
      </c>
      <c r="E898" s="2" t="str">
        <v>3.50</v>
      </c>
      <c r="F898" s="2" t="str">
        <v>3.75</v>
      </c>
      <c r="G898" s="2" t="str">
        <v>1.85</v>
      </c>
    </row>
    <row r="899">
      <c r="A899" s="2" t="str">
        <v>01/05 ВС</v>
      </c>
      <c r="B899" s="2" t="str">
        <v>21:30</v>
      </c>
      <c r="C899" s="2" t="str">
        <v>ТУРЦИЯ ТУРЦИЯ</v>
      </c>
      <c r="D899" s="2" t="str">
        <v>Галатасарай-Сивасспор</v>
      </c>
      <c r="E899" s="2" t="str">
        <v>1.80</v>
      </c>
      <c r="F899" s="2" t="str">
        <v>3.30</v>
      </c>
      <c r="G899" s="2" t="str">
        <v>4.33</v>
      </c>
    </row>
    <row r="900">
      <c r="A900" s="2" t="str">
        <v>01/05 ВС</v>
      </c>
      <c r="B900" s="2" t="str">
        <v>21:30</v>
      </c>
      <c r="C900" s="2" t="str">
        <v>ТУРЦИЯ ТУРЦИЯ</v>
      </c>
      <c r="D900" s="2" t="str">
        <v>Гёзтепе-Ризеспор</v>
      </c>
      <c r="E900" s="2" t="str">
        <v>1.90</v>
      </c>
      <c r="F900" s="2" t="str">
        <v>3.75</v>
      </c>
      <c r="G900" s="2" t="str">
        <v>3.60</v>
      </c>
    </row>
    <row r="901">
      <c r="A901" s="2" t="str">
        <v>01/05 ВС</v>
      </c>
      <c r="B901" s="2" t="str">
        <v>17:00</v>
      </c>
      <c r="C901" s="2" t="str">
        <v>ТУРЦИЯ ТУРЦИЯ</v>
      </c>
      <c r="D901" s="2" t="str">
        <v>Аданаспор-Болуспор</v>
      </c>
      <c r="E901" s="2" t="str">
        <v>2.30</v>
      </c>
      <c r="F901" s="2" t="str">
        <v>3.00</v>
      </c>
      <c r="G901" s="2" t="str">
        <v>3.00</v>
      </c>
    </row>
    <row r="902">
      <c r="A902" s="2" t="str">
        <v>01/05 ВС</v>
      </c>
      <c r="B902" s="2" t="str">
        <v>17:00</v>
      </c>
      <c r="C902" s="2" t="str">
        <v>ТУРЦИЯ ТУРЦИЯ</v>
      </c>
      <c r="D902" s="2" t="str">
        <v>Анкарагюджю-Самсунспор</v>
      </c>
      <c r="E902" s="2" t="str">
        <v>2.00</v>
      </c>
      <c r="F902" s="2" t="str">
        <v>3.10</v>
      </c>
      <c r="G902" s="2" t="str">
        <v>3.50</v>
      </c>
    </row>
    <row r="903">
      <c r="A903" s="2" t="str">
        <v>01/05 ВС</v>
      </c>
      <c r="B903" s="2" t="str">
        <v>17:00</v>
      </c>
      <c r="C903" s="2" t="str">
        <v>ТУРЦИЯ ТУРЦИЯ</v>
      </c>
      <c r="D903" s="2" t="str">
        <v>Бандырмаспор-Кечиоренгюджю</v>
      </c>
      <c r="E903" s="2" t="str">
        <v>1.57</v>
      </c>
      <c r="F903" s="2" t="str">
        <v>3.50</v>
      </c>
      <c r="G903" s="2" t="str">
        <v>5.25</v>
      </c>
    </row>
    <row r="904">
      <c r="A904" s="2" t="str">
        <v>01/05 ВС</v>
      </c>
      <c r="B904" s="2" t="str">
        <v>17:00</v>
      </c>
      <c r="C904" s="2" t="str">
        <v>ТУРЦИЯ ТУРЦИЯ</v>
      </c>
      <c r="D904" s="2" t="str">
        <v>Денизлиспор-Генчлербирлиги</v>
      </c>
      <c r="E904" s="2" t="str">
        <v>2.40</v>
      </c>
      <c r="F904" s="2" t="str">
        <v>3.00</v>
      </c>
      <c r="G904" s="2" t="str">
        <v>2.75</v>
      </c>
    </row>
    <row r="905">
      <c r="A905" s="2" t="str">
        <v>01/05 ВС</v>
      </c>
      <c r="B905" s="2" t="str">
        <v>17:00</v>
      </c>
      <c r="C905" s="2" t="str">
        <v>ТУРЦИЯ ТУРЦИЯ</v>
      </c>
      <c r="D905" s="2" t="str">
        <v>Маниса-Бурсаспор</v>
      </c>
      <c r="E905" s="2" t="str">
        <v>1.95</v>
      </c>
      <c r="F905" s="2" t="str">
        <v>3.20</v>
      </c>
      <c r="G905" s="2" t="str">
        <v>3.60</v>
      </c>
    </row>
    <row r="906">
      <c r="A906" s="2" t="str">
        <v>01/05 ВС</v>
      </c>
      <c r="B906" s="2" t="str">
        <v>17:00</v>
      </c>
      <c r="C906" s="2" t="str">
        <v>ТУРЦИЯ ТУРЦИЯ</v>
      </c>
      <c r="D906" s="2" t="str">
        <v>Менеменспор-Тузласпор</v>
      </c>
      <c r="E906" s="2" t="str">
        <v>2.87</v>
      </c>
      <c r="F906" s="2" t="str">
        <v>3.20</v>
      </c>
      <c r="G906" s="2" t="str">
        <v>2.37</v>
      </c>
    </row>
    <row r="907">
      <c r="A907" s="2" t="str">
        <v>01/05 ВС</v>
      </c>
      <c r="B907" s="2" t="str">
        <v>17:00</v>
      </c>
      <c r="C907" s="2" t="str">
        <v>ТУРЦИЯ ТУРЦИЯ</v>
      </c>
      <c r="D907" s="2" t="str">
        <v>Умраниеспор-Балыкесирспор</v>
      </c>
      <c r="E907" s="2" t="str">
        <v>1.10</v>
      </c>
      <c r="F907" s="2" t="str">
        <v>8.00</v>
      </c>
      <c r="G907" s="2" t="str">
        <v>21.00</v>
      </c>
    </row>
    <row r="908">
      <c r="A908" s="2" t="str">
        <v>01/05 ВС</v>
      </c>
      <c r="B908" s="2" t="str">
        <v>17:00</v>
      </c>
      <c r="C908" s="2" t="str">
        <v>ТУРЦИЯ ТУРЦИЯ</v>
      </c>
      <c r="D908" s="2" t="str">
        <v>Эрзурум-Коджаелиспор</v>
      </c>
      <c r="E908" s="2" t="str">
        <v>1.53</v>
      </c>
      <c r="F908" s="2" t="str">
        <v>4.00</v>
      </c>
      <c r="G908" s="2" t="str">
        <v>4.75</v>
      </c>
    </row>
    <row r="909">
      <c r="A909" s="2" t="str">
        <v>01/05 ВС</v>
      </c>
      <c r="B909" s="2" t="str">
        <v>17:00</v>
      </c>
      <c r="C909" s="2" t="str">
        <v>ТУРЦИЯ ТУРЦИЯ</v>
      </c>
      <c r="D909" s="2" t="str">
        <v>Эюпспор-Истанбулспор</v>
      </c>
      <c r="E909" s="2" t="str">
        <v>2.05</v>
      </c>
      <c r="F909" s="2" t="str">
        <v>3.25</v>
      </c>
      <c r="G909" s="2" t="str">
        <v>3.20</v>
      </c>
    </row>
    <row r="910">
      <c r="A910" s="2" t="str">
        <v>01/05 ВС</v>
      </c>
      <c r="B910" s="2" t="str">
        <v>16:00</v>
      </c>
      <c r="C910" s="2" t="str">
        <v>ТУРЦИЯ ТУРЦИЯ</v>
      </c>
      <c r="D910" s="2" t="str">
        <v>24 Эрзинджанспор-Бука</v>
      </c>
      <c r="E910" s="2" t="str">
        <v>-</v>
      </c>
      <c r="F910" s="2" t="str">
        <v>-</v>
      </c>
      <c r="G910" s="2" t="str">
        <v>-</v>
      </c>
    </row>
    <row r="911">
      <c r="A911" s="2" t="str">
        <v>01/05 ВС</v>
      </c>
      <c r="B911" s="2" t="str">
        <v>16:00</v>
      </c>
      <c r="C911" s="2" t="str">
        <v>ТУРЦИЯ ТУРЦИЯ</v>
      </c>
      <c r="D911" s="2" t="str">
        <v>Акхисарспор-Амедспор</v>
      </c>
      <c r="E911" s="2" t="str">
        <v>-</v>
      </c>
      <c r="F911" s="2" t="str">
        <v>-</v>
      </c>
      <c r="G911" s="2" t="str">
        <v>-</v>
      </c>
    </row>
    <row r="912">
      <c r="A912" s="2" t="str">
        <v>01/05 ВС</v>
      </c>
      <c r="B912" s="2" t="str">
        <v>16:00</v>
      </c>
      <c r="C912" s="2" t="str">
        <v>ТУРЦИЯ ТУРЦИЯ</v>
      </c>
      <c r="D912" s="2" t="str">
        <v>Анкара Демирспор-Эскишехирспор</v>
      </c>
      <c r="E912" s="2" t="str">
        <v>-</v>
      </c>
      <c r="F912" s="2" t="str">
        <v>-</v>
      </c>
      <c r="G912" s="2" t="str">
        <v>-</v>
      </c>
    </row>
    <row r="913">
      <c r="A913" s="2" t="str">
        <v>01/05 ВС</v>
      </c>
      <c r="B913" s="2" t="str">
        <v>16:00</v>
      </c>
      <c r="C913" s="2" t="str">
        <v>ТУРЦИЯ ТУРЦИЯ</v>
      </c>
      <c r="D913" s="2" t="str">
        <v>Кыршехир Беледиеспор-Шанлыурфаспор</v>
      </c>
      <c r="E913" s="2" t="str">
        <v>-</v>
      </c>
      <c r="F913" s="2" t="str">
        <v>-</v>
      </c>
      <c r="G913" s="2" t="str">
        <v>-</v>
      </c>
    </row>
    <row r="914">
      <c r="A914" s="2" t="str">
        <v>01/05 ВС</v>
      </c>
      <c r="B914" s="2" t="str">
        <v>16:00</v>
      </c>
      <c r="C914" s="2" t="str">
        <v>ТУРЦИЯ ТУРЦИЯ</v>
      </c>
      <c r="D914" s="2" t="str">
        <v>Назыллыспор-Караджабей</v>
      </c>
      <c r="E914" s="2" t="str">
        <v>-</v>
      </c>
      <c r="F914" s="2" t="str">
        <v>-</v>
      </c>
      <c r="G914" s="2" t="str">
        <v>-</v>
      </c>
    </row>
    <row r="915">
      <c r="A915" s="2" t="str">
        <v>01/05 ВС</v>
      </c>
      <c r="B915" s="2" t="str">
        <v>16:00</v>
      </c>
      <c r="C915" s="2" t="str">
        <v>ТУРЦИЯ ТУРЦИЯ</v>
      </c>
      <c r="D915" s="2" t="str">
        <v>Пендикспор-Пазарспор</v>
      </c>
      <c r="E915" s="2" t="str">
        <v>-</v>
      </c>
      <c r="F915" s="2" t="str">
        <v>-</v>
      </c>
      <c r="G915" s="2" t="str">
        <v>-</v>
      </c>
    </row>
    <row r="916">
      <c r="A916" s="2" t="str">
        <v>01/05 ВС</v>
      </c>
      <c r="B916" s="2" t="str">
        <v>16:00</v>
      </c>
      <c r="C916" s="2" t="str">
        <v>ТУРЦИЯ ТУРЦИЯ</v>
      </c>
      <c r="D916" s="2" t="str">
        <v>Тарсус-Зонгулдак Комурспор</v>
      </c>
      <c r="E916" s="2" t="str">
        <v>-</v>
      </c>
      <c r="F916" s="2" t="str">
        <v>-</v>
      </c>
      <c r="G916" s="2" t="str">
        <v>-</v>
      </c>
    </row>
    <row r="917">
      <c r="A917" s="2" t="str">
        <v>01/05 ВС</v>
      </c>
      <c r="B917" s="2" t="str">
        <v>16:00</v>
      </c>
      <c r="C917" s="2" t="str">
        <v>ТУРЦИЯ ТУРЦИЯ</v>
      </c>
      <c r="D917" s="2" t="str">
        <v>Ушакспор-Кыркларелиспор</v>
      </c>
      <c r="E917" s="2" t="str">
        <v>-</v>
      </c>
      <c r="F917" s="2" t="str">
        <v>-</v>
      </c>
      <c r="G917" s="2" t="str">
        <v>-</v>
      </c>
    </row>
    <row r="918">
      <c r="A918" s="2" t="str">
        <v>01/05 ВС</v>
      </c>
      <c r="B918" s="2" t="str">
        <v>16:00</v>
      </c>
      <c r="C918" s="2" t="str">
        <v>ТУРЦИЯ ТУРЦИЯ</v>
      </c>
      <c r="D918" s="2" t="str">
        <v>Адияманспор-Корум</v>
      </c>
      <c r="E918" s="2" t="str">
        <v>-</v>
      </c>
      <c r="F918" s="2" t="str">
        <v>-</v>
      </c>
      <c r="G918" s="2" t="str">
        <v>-</v>
      </c>
    </row>
    <row r="919">
      <c r="A919" s="2" t="str">
        <v>01/05 ВС</v>
      </c>
      <c r="B919" s="2" t="str">
        <v>16:00</v>
      </c>
      <c r="C919" s="2" t="str">
        <v>ТУРЦИЯ ТУРЦИЯ</v>
      </c>
      <c r="D919" s="2" t="str">
        <v>АФЙЕТ Афьонспор-Сарыер</v>
      </c>
      <c r="E919" s="2" t="str">
        <v>-</v>
      </c>
      <c r="F919" s="2" t="str">
        <v>-</v>
      </c>
      <c r="G919" s="2" t="str">
        <v>-</v>
      </c>
    </row>
    <row r="920">
      <c r="A920" s="2" t="str">
        <v>01/05 ВС</v>
      </c>
      <c r="B920" s="2" t="str">
        <v>16:00</v>
      </c>
      <c r="C920" s="2" t="str">
        <v>ТУРЦИЯ ТУРЦИЯ</v>
      </c>
      <c r="D920" s="2" t="str">
        <v>Диярбакырспор-Байбурт Ченджлик</v>
      </c>
      <c r="E920" s="2" t="str">
        <v>-</v>
      </c>
      <c r="F920" s="2" t="str">
        <v>-</v>
      </c>
      <c r="G920" s="2" t="str">
        <v>-</v>
      </c>
    </row>
    <row r="921">
      <c r="A921" s="2" t="str">
        <v>01/05 ВС</v>
      </c>
      <c r="B921" s="2" t="str">
        <v>16:00</v>
      </c>
      <c r="C921" s="2" t="str">
        <v>ТУРЦИЯ ТУРЦИЯ</v>
      </c>
      <c r="D921" s="2" t="str">
        <v>Инегольспор-Ванспор</v>
      </c>
      <c r="E921" s="2" t="str">
        <v>-</v>
      </c>
      <c r="F921" s="2" t="str">
        <v>-</v>
      </c>
      <c r="G921" s="2" t="str">
        <v>-</v>
      </c>
    </row>
    <row r="922">
      <c r="A922" s="2" t="str">
        <v>01/05 ВС</v>
      </c>
      <c r="B922" s="2" t="str">
        <v>16:00</v>
      </c>
      <c r="C922" s="2" t="str">
        <v>ТУРЦИЯ ТУРЦИЯ</v>
      </c>
      <c r="D922" s="2" t="str">
        <v>Нигдэ Анадолу-Бодрумспор</v>
      </c>
      <c r="E922" s="2" t="str">
        <v>-</v>
      </c>
      <c r="F922" s="2" t="str">
        <v>-</v>
      </c>
      <c r="G922" s="2" t="str">
        <v>-</v>
      </c>
    </row>
    <row r="923">
      <c r="A923" s="2" t="str">
        <v>01/05 ВС</v>
      </c>
      <c r="B923" s="2" t="str">
        <v>16:00</v>
      </c>
      <c r="C923" s="2" t="str">
        <v>ТУРЦИЯ ТУРЦИЯ</v>
      </c>
      <c r="D923" s="2" t="str">
        <v>Тюргютлюспор-Серик Беледиеспор</v>
      </c>
      <c r="E923" s="2" t="str">
        <v>-</v>
      </c>
      <c r="F923" s="2" t="str">
        <v>-</v>
      </c>
      <c r="G923" s="2" t="str">
        <v>-</v>
      </c>
    </row>
    <row r="924">
      <c r="A924" s="2" t="str">
        <v>01/05 ВС</v>
      </c>
      <c r="B924" s="2" t="str">
        <v>16:00</v>
      </c>
      <c r="C924" s="2" t="str">
        <v>ТУРЦИЯ ТУРЦИЯ</v>
      </c>
      <c r="D924" s="2" t="str">
        <v>Эргене Велимеше-Сивас Беледиеспор</v>
      </c>
      <c r="E924" s="2" t="str">
        <v>-</v>
      </c>
      <c r="F924" s="2" t="str">
        <v>-</v>
      </c>
      <c r="G924" s="2" t="str">
        <v>-</v>
      </c>
    </row>
    <row r="925">
      <c r="A925" s="2" t="str">
        <v>01/05 ВС</v>
      </c>
      <c r="B925" s="2" t="str">
        <v>16:00</v>
      </c>
      <c r="C925" s="2" t="str">
        <v>ТУРЦИЯ ТУРЦИЯ</v>
      </c>
      <c r="D925" s="2" t="str">
        <v>Этимесгут-Анкараспор</v>
      </c>
      <c r="E925" s="2" t="str">
        <v>-</v>
      </c>
      <c r="F925" s="2" t="str">
        <v>-</v>
      </c>
      <c r="G925" s="2" t="str">
        <v>-</v>
      </c>
    </row>
    <row r="926">
      <c r="A926" s="2" t="str">
        <v>01/05 ВС</v>
      </c>
      <c r="B926" s="2" t="str">
        <v>16:00</v>
      </c>
      <c r="C926" s="2" t="str">
        <v>ТУРЦИЯ ТУРЦИЯ</v>
      </c>
      <c r="D926" s="2" t="str">
        <v>Trabzon FK-Сома Спор</v>
      </c>
      <c r="E926" s="2" t="str">
        <v>-</v>
      </c>
      <c r="F926" s="2" t="str">
        <v>-</v>
      </c>
      <c r="G926" s="2" t="str">
        <v>-</v>
      </c>
    </row>
    <row r="927">
      <c r="A927" s="2" t="str">
        <v>01/05 ВС</v>
      </c>
      <c r="B927" s="2" t="str">
        <v>16:00</v>
      </c>
      <c r="C927" s="2" t="str">
        <v>ТУРЦИЯ ТУРЦИЯ</v>
      </c>
      <c r="D927" s="2" t="str">
        <v>Арнавуткой-Хендек</v>
      </c>
      <c r="E927" s="2" t="str">
        <v>-</v>
      </c>
      <c r="F927" s="2" t="str">
        <v>-</v>
      </c>
      <c r="G927" s="2" t="str">
        <v>-</v>
      </c>
    </row>
    <row r="928">
      <c r="A928" s="2" t="str">
        <v>01/05 ВС</v>
      </c>
      <c r="B928" s="2" t="str">
        <v>16:00</v>
      </c>
      <c r="C928" s="2" t="str">
        <v>ТУРЦИЯ ТУРЦИЯ</v>
      </c>
      <c r="D928" s="2" t="str">
        <v>Бергама Блд.-Кахта</v>
      </c>
      <c r="E928" s="2" t="str">
        <v>-</v>
      </c>
      <c r="F928" s="2" t="str">
        <v>-</v>
      </c>
      <c r="G928" s="2" t="str">
        <v>-</v>
      </c>
    </row>
    <row r="929">
      <c r="A929" s="2" t="str">
        <v>01/05 ВС</v>
      </c>
      <c r="B929" s="2" t="str">
        <v>16:00</v>
      </c>
      <c r="C929" s="2" t="str">
        <v>ТУРЦИЯ ТУРЦИЯ</v>
      </c>
      <c r="D929" s="2" t="str">
        <v>Бурса-Элязыспор</v>
      </c>
      <c r="E929" s="2" t="str">
        <v>-</v>
      </c>
      <c r="F929" s="2" t="str">
        <v>-</v>
      </c>
      <c r="G929" s="2" t="str">
        <v>-</v>
      </c>
    </row>
    <row r="930">
      <c r="A930" s="2" t="str">
        <v>01/05 ВС</v>
      </c>
      <c r="B930" s="2" t="str">
        <v>16:00</v>
      </c>
      <c r="C930" s="2" t="str">
        <v>ТУРЦИЯ ТУРЦИЯ</v>
      </c>
      <c r="D930" s="2" t="str">
        <v>Кутахиаспор-Бэтмен Петролспор</v>
      </c>
      <c r="E930" s="2" t="str">
        <v>-</v>
      </c>
      <c r="F930" s="2" t="str">
        <v>-</v>
      </c>
      <c r="G930" s="2" t="str">
        <v>-</v>
      </c>
    </row>
    <row r="931">
      <c r="A931" s="2" t="str">
        <v>01/05 ВС</v>
      </c>
      <c r="B931" s="2" t="str">
        <v>16:00</v>
      </c>
      <c r="C931" s="2" t="str">
        <v>ТУРЦИЯ ТУРЦИЯ</v>
      </c>
      <c r="D931" s="2" t="str">
        <v>Мамак-Санджактепе</v>
      </c>
      <c r="E931" s="2" t="str">
        <v>-</v>
      </c>
      <c r="F931" s="2" t="str">
        <v>-</v>
      </c>
      <c r="G931" s="2" t="str">
        <v>-</v>
      </c>
    </row>
    <row r="932">
      <c r="A932" s="2" t="str">
        <v>01/05 ВС</v>
      </c>
      <c r="B932" s="2" t="str">
        <v>16:00</v>
      </c>
      <c r="C932" s="2" t="str">
        <v>ТУРЦИЯ ТУРЦИЯ</v>
      </c>
      <c r="D932" s="2" t="str">
        <v>Османиеспор-Келкит</v>
      </c>
      <c r="E932" s="2" t="str">
        <v>-</v>
      </c>
      <c r="F932" s="2" t="str">
        <v>-</v>
      </c>
      <c r="G932" s="2" t="str">
        <v>-</v>
      </c>
    </row>
    <row r="933">
      <c r="A933" s="2" t="str">
        <v>01/05 ВС</v>
      </c>
      <c r="B933" s="2" t="str">
        <v>16:00</v>
      </c>
      <c r="C933" s="2" t="str">
        <v>ТУРЦИЯ ТУРЦИЯ</v>
      </c>
      <c r="D933" s="2" t="str">
        <v>Фатса-Невшехирспор</v>
      </c>
      <c r="E933" s="2" t="str">
        <v>-</v>
      </c>
      <c r="F933" s="2" t="str">
        <v>-</v>
      </c>
      <c r="G933" s="2" t="str">
        <v>-</v>
      </c>
    </row>
    <row r="934">
      <c r="A934" s="2" t="str">
        <v>01/05 ВС</v>
      </c>
      <c r="B934" s="2" t="str">
        <v>16:00</v>
      </c>
      <c r="C934" s="2" t="str">
        <v>ТУРЦИЯ ТУРЦИЯ</v>
      </c>
      <c r="D934" s="2" t="str">
        <v>Хопаспор-Чаталджа</v>
      </c>
      <c r="E934" s="2" t="str">
        <v>-</v>
      </c>
      <c r="F934" s="2" t="str">
        <v>-</v>
      </c>
      <c r="G934" s="2" t="str">
        <v>-</v>
      </c>
    </row>
    <row r="935">
      <c r="A935" s="2" t="str">
        <v>01/05 ВС</v>
      </c>
      <c r="B935" s="2" t="str">
        <v>16:00</v>
      </c>
      <c r="C935" s="2" t="str">
        <v>ТУРЦИЯ ТУРЦИЯ</v>
      </c>
      <c r="D935" s="2" t="str">
        <v>Karaman-Эрбааспор</v>
      </c>
      <c r="E935" s="2" t="str">
        <v>-</v>
      </c>
      <c r="F935" s="2" t="str">
        <v>-</v>
      </c>
      <c r="G935" s="2" t="str">
        <v>-</v>
      </c>
    </row>
    <row r="936">
      <c r="A936" s="2" t="str">
        <v>01/05 ВС</v>
      </c>
      <c r="B936" s="2" t="str">
        <v>16:00</v>
      </c>
      <c r="C936" s="2" t="str">
        <v>ТУРЦИЯ ТУРЦИЯ</v>
      </c>
      <c r="D936" s="2" t="str">
        <v>Алтындаг Беледиеспор-Шиле Йылдызспор</v>
      </c>
      <c r="E936" s="2" t="str">
        <v>-</v>
      </c>
      <c r="F936" s="2" t="str">
        <v>-</v>
      </c>
      <c r="G936" s="2" t="str">
        <v>-</v>
      </c>
    </row>
    <row r="937">
      <c r="A937" s="2" t="str">
        <v>01/05 ВС</v>
      </c>
      <c r="B937" s="2" t="str">
        <v>16:00</v>
      </c>
      <c r="C937" s="2" t="str">
        <v>ТУРЦИЯ ТУРЦИЯ</v>
      </c>
      <c r="D937" s="2" t="str">
        <v>Байрампаша-Аксарай Блд.</v>
      </c>
      <c r="E937" s="2" t="str">
        <v>-</v>
      </c>
      <c r="F937" s="2" t="str">
        <v>-</v>
      </c>
      <c r="G937" s="2" t="str">
        <v>-</v>
      </c>
    </row>
    <row r="938">
      <c r="A938" s="2" t="str">
        <v>01/05 ВС</v>
      </c>
      <c r="B938" s="2" t="str">
        <v>16:00</v>
      </c>
      <c r="C938" s="2" t="str">
        <v>ТУРЦИЯ ТУРЦИЯ</v>
      </c>
      <c r="D938" s="2" t="str">
        <v>Искендерюн-Бейоглу Йени</v>
      </c>
      <c r="E938" s="2" t="str">
        <v>-</v>
      </c>
      <c r="F938" s="2" t="str">
        <v>-</v>
      </c>
      <c r="G938" s="2" t="str">
        <v>-</v>
      </c>
    </row>
    <row r="939">
      <c r="A939" s="2" t="str">
        <v>01/05 ВС</v>
      </c>
      <c r="B939" s="2" t="str">
        <v>16:00</v>
      </c>
      <c r="C939" s="2" t="str">
        <v>ТУРЦИЯ ТУРЦИЯ</v>
      </c>
      <c r="D939" s="2" t="str">
        <v>Йени Ордуспор-Дарыджа Генчлербирлии</v>
      </c>
      <c r="E939" s="2" t="str">
        <v>-</v>
      </c>
      <c r="F939" s="2" t="str">
        <v>-</v>
      </c>
      <c r="G939" s="2" t="str">
        <v>-</v>
      </c>
    </row>
    <row r="940">
      <c r="A940" s="2" t="str">
        <v>01/05 ВС</v>
      </c>
      <c r="B940" s="2" t="str">
        <v>16:00</v>
      </c>
      <c r="C940" s="2" t="str">
        <v>ТУРЦИЯ ТУРЦИЯ</v>
      </c>
      <c r="D940" s="2" t="str">
        <v>Йомраспор-Дюзджеспор</v>
      </c>
      <c r="E940" s="2" t="str">
        <v>-</v>
      </c>
      <c r="F940" s="2" t="str">
        <v>-</v>
      </c>
      <c r="G940" s="2" t="str">
        <v>-</v>
      </c>
    </row>
    <row r="941">
      <c r="A941" s="2" t="str">
        <v>01/05 ВС</v>
      </c>
      <c r="B941" s="2" t="str">
        <v>16:00</v>
      </c>
      <c r="C941" s="2" t="str">
        <v>ТУРЦИЯ ТУРЦИЯ</v>
      </c>
      <c r="D941" s="2" t="str">
        <v>Сиирт Озель-Кызылджаболюкспор</v>
      </c>
      <c r="E941" s="2" t="str">
        <v>-</v>
      </c>
      <c r="F941" s="2" t="str">
        <v>-</v>
      </c>
      <c r="G941" s="2" t="str">
        <v>-</v>
      </c>
    </row>
    <row r="942">
      <c r="A942" s="2" t="str">
        <v>01/05 ВС</v>
      </c>
      <c r="B942" s="2" t="str">
        <v>16:00</v>
      </c>
      <c r="C942" s="2" t="str">
        <v>ТУРЦИЯ ТУРЦИЯ</v>
      </c>
      <c r="D942" s="2" t="str">
        <v>ФК Игдир-Хаджеттепе</v>
      </c>
      <c r="E942" s="2" t="str">
        <v>-</v>
      </c>
      <c r="F942" s="2" t="str">
        <v>-</v>
      </c>
      <c r="G942" s="2" t="str">
        <v>-</v>
      </c>
    </row>
    <row r="943">
      <c r="A943" s="2" t="str">
        <v>01/05 ВС</v>
      </c>
      <c r="B943" s="2" t="str">
        <v>16:00</v>
      </c>
      <c r="C943" s="2" t="str">
        <v>ТУРЦИЯ ТУРЦИЯ</v>
      </c>
      <c r="D943" s="2" t="str">
        <v>Чаршамбаспор-Малатья</v>
      </c>
      <c r="E943" s="2" t="str">
        <v>-</v>
      </c>
      <c r="F943" s="2" t="str">
        <v>-</v>
      </c>
      <c r="G943" s="2" t="str">
        <v>-</v>
      </c>
    </row>
    <row r="944">
      <c r="A944" s="2" t="str">
        <v>01/05 ВС</v>
      </c>
      <c r="B944" s="2" t="str">
        <v>16:00</v>
      </c>
      <c r="C944" s="2" t="str">
        <v>ТУРЦИЯ ТУРЦИЯ</v>
      </c>
      <c r="D944" s="2" t="str">
        <v>Элязы-Кушадасыспор</v>
      </c>
      <c r="E944" s="2" t="str">
        <v>-</v>
      </c>
      <c r="F944" s="2" t="str">
        <v>-</v>
      </c>
      <c r="G944" s="2" t="str">
        <v>-</v>
      </c>
    </row>
    <row r="945">
      <c r="A945" s="2" t="str">
        <v>01/05 ВС</v>
      </c>
      <c r="B945" s="2" t="str">
        <v>16:00</v>
      </c>
      <c r="C945" s="2" t="str">
        <v>ТУРЦИЯ ТУРЦИЯ</v>
      </c>
      <c r="D945" s="2" t="str">
        <v>Агри 1970-Кириккале</v>
      </c>
      <c r="E945" s="2" t="str">
        <v>-</v>
      </c>
      <c r="F945" s="2" t="str">
        <v>-</v>
      </c>
      <c r="G945" s="2" t="str">
        <v>-</v>
      </c>
    </row>
    <row r="946">
      <c r="A946" s="2" t="str">
        <v>01/05 ВС</v>
      </c>
      <c r="B946" s="2" t="str">
        <v>16:00</v>
      </c>
      <c r="C946" s="2" t="str">
        <v>ТУРЦИЯ ТУРЦИЯ</v>
      </c>
      <c r="D946" s="2" t="str">
        <v>Гумусханеспор-Ордуспор</v>
      </c>
      <c r="E946" s="2" t="str">
        <v>-</v>
      </c>
      <c r="F946" s="2" t="str">
        <v>-</v>
      </c>
      <c r="G946" s="2" t="str">
        <v>-</v>
      </c>
    </row>
    <row r="947">
      <c r="A947" s="2" t="str">
        <v>01/05 ВС</v>
      </c>
      <c r="B947" s="2" t="str">
        <v>16:00</v>
      </c>
      <c r="C947" s="2" t="str">
        <v>ТУРЦИЯ ТУРЦИЯ</v>
      </c>
      <c r="D947" s="2" t="str">
        <v>Джейханспор-Кардемир Карабюк</v>
      </c>
      <c r="E947" s="2" t="str">
        <v>-</v>
      </c>
      <c r="F947" s="2" t="str">
        <v>-</v>
      </c>
      <c r="G947" s="2" t="str">
        <v>-</v>
      </c>
    </row>
    <row r="948">
      <c r="A948" s="2" t="str">
        <v>01/05 ВС</v>
      </c>
      <c r="B948" s="2" t="str">
        <v>16:00</v>
      </c>
      <c r="C948" s="2" t="str">
        <v>ТУРЦИЯ ТУРЦИЯ</v>
      </c>
      <c r="D948" s="2" t="str">
        <v>Каракопру-Мардин ББ</v>
      </c>
      <c r="E948" s="2" t="str">
        <v>-</v>
      </c>
      <c r="F948" s="2" t="str">
        <v>-</v>
      </c>
      <c r="G948" s="2" t="str">
        <v>-</v>
      </c>
    </row>
    <row r="949">
      <c r="A949" s="2" t="str">
        <v>01/05 ВС</v>
      </c>
      <c r="B949" s="2" t="str">
        <v>16:00</v>
      </c>
      <c r="C949" s="2" t="str">
        <v>ТУРЦИЯ ТУРЦИЯ</v>
      </c>
      <c r="D949" s="2" t="str">
        <v>Каршияка-Беледие Дериндже</v>
      </c>
      <c r="E949" s="2" t="str">
        <v>-</v>
      </c>
      <c r="F949" s="2" t="str">
        <v>-</v>
      </c>
      <c r="G949" s="2" t="str">
        <v>-</v>
      </c>
    </row>
    <row r="950">
      <c r="A950" s="2" t="str">
        <v>01/05 ВС</v>
      </c>
      <c r="B950" s="2" t="str">
        <v>16:00</v>
      </c>
      <c r="C950" s="2" t="str">
        <v>ТУРЦИЯ ТУРЦИЯ</v>
      </c>
      <c r="D950" s="2" t="str">
        <v>Модафенспор-Эрокспор</v>
      </c>
      <c r="E950" s="2" t="str">
        <v>-</v>
      </c>
      <c r="F950" s="2" t="str">
        <v>-</v>
      </c>
      <c r="G950" s="2" t="str">
        <v>-</v>
      </c>
    </row>
    <row r="951">
      <c r="A951" s="2" t="str">
        <v>01/05 ВС</v>
      </c>
      <c r="B951" s="2" t="str">
        <v>16:00</v>
      </c>
      <c r="C951" s="2" t="str">
        <v>ТУРЦИЯ ТУРЦИЯ</v>
      </c>
      <c r="D951" s="2" t="str">
        <v>Тепеджик-Офспор</v>
      </c>
      <c r="E951" s="2" t="str">
        <v>-</v>
      </c>
      <c r="F951" s="2" t="str">
        <v>-</v>
      </c>
      <c r="G951" s="2" t="str">
        <v>-</v>
      </c>
    </row>
    <row r="952">
      <c r="A952" s="2" t="str">
        <v>01/05 ВС</v>
      </c>
      <c r="B952" s="2" t="str">
        <v>16:00</v>
      </c>
      <c r="C952" s="2" t="str">
        <v>ТУРЦИЯ ТУРЦИЯ</v>
      </c>
      <c r="D952" s="2" t="str">
        <v>Фетхиеспор-Эдирнеспор</v>
      </c>
      <c r="E952" s="2" t="str">
        <v>-</v>
      </c>
      <c r="F952" s="2" t="str">
        <v>-</v>
      </c>
      <c r="G952" s="2" t="str">
        <v>-</v>
      </c>
    </row>
    <row r="953">
      <c r="A953" s="2" t="str">
        <v>01/05 ВС</v>
      </c>
      <c r="B953" s="2" t="str">
        <v>16:00</v>
      </c>
      <c r="C953" s="2" t="str">
        <v>ТУРЦИЯ ТУРЦИЯ</v>
      </c>
      <c r="D953" s="2" t="str">
        <v>Чанкая-Ичель</v>
      </c>
      <c r="E953" s="2" t="str">
        <v>-</v>
      </c>
      <c r="F953" s="2" t="str">
        <v>-</v>
      </c>
      <c r="G953" s="2" t="str">
        <v>-</v>
      </c>
    </row>
    <row r="954">
      <c r="A954" s="2" t="str">
        <v>01/05 ВС</v>
      </c>
      <c r="B954" s="2" t="str">
        <v>17:00</v>
      </c>
      <c r="C954" s="2" t="str">
        <v>УГАНДА УГАНДА</v>
      </c>
      <c r="D954" s="2" t="str">
        <v>Arua Hill-Мбарара Сити</v>
      </c>
      <c r="E954" s="2" t="str">
        <v>-</v>
      </c>
      <c r="F954" s="2" t="str">
        <v>-</v>
      </c>
      <c r="G954" s="2" t="str">
        <v>-</v>
      </c>
    </row>
    <row r="955">
      <c r="A955" s="2" t="str">
        <v>01/05 ВС</v>
      </c>
      <c r="B955" s="2" t="str">
        <v>17:30</v>
      </c>
      <c r="C955" s="2" t="str">
        <v>УЗБЕКИСТАН УЗБЕКИСТАН</v>
      </c>
      <c r="D955" s="2" t="str">
        <v>Кызылкум-Навбахор</v>
      </c>
      <c r="E955" s="2" t="str">
        <v>-</v>
      </c>
      <c r="F955" s="2" t="str">
        <v>-</v>
      </c>
      <c r="G955" s="2" t="str">
        <v>-</v>
      </c>
    </row>
    <row r="956">
      <c r="A956" s="2" t="str">
        <v>01/05 ВС</v>
      </c>
      <c r="B956" s="2" t="str">
        <v>17:30</v>
      </c>
      <c r="C956" s="2" t="str">
        <v>УЗБЕКИСТАН УЗБЕКИСТАН</v>
      </c>
      <c r="D956" s="2" t="str">
        <v>Локомотив Ташкент-Сурхан</v>
      </c>
      <c r="E956" s="2" t="str">
        <v>-</v>
      </c>
      <c r="F956" s="2" t="str">
        <v>-</v>
      </c>
      <c r="G956" s="2" t="str">
        <v>-</v>
      </c>
    </row>
    <row r="957">
      <c r="A957" s="2" t="str">
        <v>01/05 ВС</v>
      </c>
      <c r="B957" s="2" t="str">
        <v>17:35</v>
      </c>
      <c r="C957" s="2" t="str">
        <v>УЗБЕКИСТАН УЗБЕКИСТАН</v>
      </c>
      <c r="D957" s="2" t="str">
        <v>Согдиана-Металлург Бекабад</v>
      </c>
      <c r="E957" s="2" t="str">
        <v>-</v>
      </c>
      <c r="F957" s="2" t="str">
        <v>-</v>
      </c>
      <c r="G957" s="2" t="str">
        <v>-</v>
      </c>
    </row>
    <row r="958">
      <c r="A958" s="2" t="str">
        <v>01/05 ВС</v>
      </c>
      <c r="B958" s="2" t="str">
        <v>19:00</v>
      </c>
      <c r="C958" s="2" t="str">
        <v>УЭЛЬС УЭЛЬС</v>
      </c>
      <c r="D958" s="2" t="str">
        <v>Пенибонт-Нью-Сейнтс</v>
      </c>
      <c r="E958" s="2" t="str">
        <v>-</v>
      </c>
      <c r="F958" s="2" t="str">
        <v>-</v>
      </c>
      <c r="G958" s="2" t="str">
        <v>-</v>
      </c>
    </row>
    <row r="959">
      <c r="A959" s="2" t="str">
        <v>01/05 ВС</v>
      </c>
      <c r="B959" s="2" t="str">
        <v>18:15</v>
      </c>
      <c r="C959" s="2" t="str">
        <v>ФАРЕРСКИЕ ОСТРОВА ФАРЕРСКИЕ ОСТРОВА</v>
      </c>
      <c r="D959" s="2" t="str">
        <v>ХБ Торсхавн-07 Вестур Сорвагур</v>
      </c>
      <c r="E959" s="2" t="str">
        <v>-</v>
      </c>
      <c r="F959" s="2" t="str">
        <v>-</v>
      </c>
      <c r="G959" s="2" t="str">
        <v>-</v>
      </c>
    </row>
    <row r="960">
      <c r="A960" s="2" t="str">
        <v>01/05 ВС</v>
      </c>
      <c r="B960" s="2" t="str">
        <v>19:00</v>
      </c>
      <c r="C960" s="2" t="str">
        <v>ФАРЕРСКИЕ ОСТРОВА ФАРЕРСКИЕ ОСТРОВА</v>
      </c>
      <c r="D960" s="2" t="str">
        <v>Рунавик-Скала Итроттарфелаг</v>
      </c>
      <c r="E960" s="2" t="str">
        <v>-</v>
      </c>
      <c r="F960" s="2" t="str">
        <v>-</v>
      </c>
      <c r="G960" s="2" t="str">
        <v>-</v>
      </c>
    </row>
    <row r="961">
      <c r="A961" s="2" t="str">
        <v>01/05 ВС</v>
      </c>
      <c r="B961" s="2" t="str">
        <v>07:00</v>
      </c>
      <c r="C961" s="2" t="str">
        <v>ФИДЖИ ФИДЖИ</v>
      </c>
      <c r="D961" s="2" t="str">
        <v>Лаутока-Рева</v>
      </c>
      <c r="E961" s="2" t="str">
        <v>-</v>
      </c>
      <c r="F961" s="2" t="str">
        <v>-</v>
      </c>
      <c r="G961" s="2" t="str">
        <v>-</v>
      </c>
    </row>
    <row r="962">
      <c r="A962" s="2" t="str">
        <v>01/05 ВС</v>
      </c>
      <c r="B962" s="2" t="str">
        <v>19:00</v>
      </c>
      <c r="C962" s="2" t="str">
        <v>ФИНЛЯНДИЯ ФИНЛЯНДИЯ</v>
      </c>
      <c r="D962" s="2" t="str">
        <v>Ильвес 2-Ильвес</v>
      </c>
      <c r="E962" s="2" t="str">
        <v>-</v>
      </c>
      <c r="F962" s="2" t="str">
        <v>-</v>
      </c>
      <c r="G962" s="2" t="str">
        <v>-</v>
      </c>
    </row>
    <row r="963">
      <c r="A963" s="2" t="str">
        <v>01/05 ВС</v>
      </c>
      <c r="B963" s="2" t="str">
        <v>19:00</v>
      </c>
      <c r="C963" s="2" t="str">
        <v>ХОРВАТИЯ ХОРВАТИЯ</v>
      </c>
      <c r="D963" s="2" t="str">
        <v>Осиек-Истра 1961</v>
      </c>
      <c r="E963" s="2" t="str">
        <v>1.33</v>
      </c>
      <c r="F963" s="2" t="str">
        <v>4.33</v>
      </c>
      <c r="G963" s="2" t="str">
        <v>7.00</v>
      </c>
    </row>
    <row r="964">
      <c r="A964" s="2" t="str">
        <v>01/05 ВС</v>
      </c>
      <c r="B964" s="2" t="str">
        <v>21:05</v>
      </c>
      <c r="C964" s="2" t="str">
        <v>ХОРВАТИЯ ХОРВАТИЯ</v>
      </c>
      <c r="D964" s="2" t="str">
        <v>Локомотива Загреб-Динамо Загреб</v>
      </c>
      <c r="E964" s="2" t="str">
        <v>6.50</v>
      </c>
      <c r="F964" s="2" t="str">
        <v>4.33</v>
      </c>
      <c r="G964" s="2" t="str">
        <v>1.40</v>
      </c>
    </row>
    <row r="965">
      <c r="A965" s="2" t="str">
        <v>01/05 ВС</v>
      </c>
      <c r="B965" s="2" t="str">
        <v>19:00</v>
      </c>
      <c r="C965" s="2" t="str">
        <v>ХОРВАТИЯ ХОРВАТИЯ</v>
      </c>
      <c r="D965" s="2" t="str">
        <v>Сесвете-Хорватия Змиявцы</v>
      </c>
      <c r="E965" s="2" t="str">
        <v>-</v>
      </c>
      <c r="F965" s="2" t="str">
        <v>-</v>
      </c>
      <c r="G965" s="2" t="str">
        <v>-</v>
      </c>
    </row>
    <row r="966" xml:space="preserve">
      <c r="A966" s="2" t="str">
        <v>01/05 ВС</v>
      </c>
      <c r="B966" s="2" t="str" xml:space="preserve">
        <v xml:space="preserve">13:00_x000d_
TKP</v>
      </c>
      <c r="C966" s="2" t="str">
        <v>ХОРВАТИЯ ХОРВАТИЯ</v>
      </c>
      <c r="D966" s="2" t="str">
        <v>Гай Маче-Бистра</v>
      </c>
      <c r="E966" s="2" t="str">
        <v>-</v>
      </c>
      <c r="F966" s="2" t="str">
        <v>-</v>
      </c>
      <c r="G966" s="2" t="str">
        <v>-</v>
      </c>
    </row>
    <row r="967" xml:space="preserve">
      <c r="A967" s="2" t="str">
        <v>01/05 ВС</v>
      </c>
      <c r="B967" s="2" t="str" xml:space="preserve">
        <v xml:space="preserve">19:00_x000d_
TKP</v>
      </c>
      <c r="C967" s="2" t="str">
        <v>ХОРВАТИЯ ХОРВАТИЯ</v>
      </c>
      <c r="D967" s="2" t="str">
        <v>Неретва-Ускок</v>
      </c>
      <c r="E967" s="2" t="str">
        <v>-</v>
      </c>
      <c r="F967" s="2" t="str">
        <v>-</v>
      </c>
      <c r="G967" s="2" t="str">
        <v>-</v>
      </c>
    </row>
    <row r="968" xml:space="preserve">
      <c r="A968" s="2" t="str">
        <v>01/05 ВС</v>
      </c>
      <c r="B968" s="2" t="str" xml:space="preserve">
        <v xml:space="preserve">19:00_x000d_
TKP</v>
      </c>
      <c r="C968" s="2" t="str">
        <v>ХОРВАТИЯ ХОРВАТИЯ</v>
      </c>
      <c r="D968" s="2" t="str">
        <v>ОСК Оток-Камень Подбаблье</v>
      </c>
      <c r="E968" s="2" t="str">
        <v>-</v>
      </c>
      <c r="F968" s="2" t="str">
        <v>-</v>
      </c>
      <c r="G968" s="2" t="str">
        <v>-</v>
      </c>
    </row>
    <row r="969" xml:space="preserve">
      <c r="A969" s="2" t="str">
        <v>01/05 ВС</v>
      </c>
      <c r="B969" s="2" t="str" xml:space="preserve">
        <v xml:space="preserve">19:00_x000d_
TKP</v>
      </c>
      <c r="C969" s="2" t="str">
        <v>ХОРВАТИЯ ХОРВАТИЯ</v>
      </c>
      <c r="D969" s="2" t="str">
        <v>Слога Мравинце-Хрватски Витез Поседарье</v>
      </c>
      <c r="E969" s="2" t="str">
        <v>-</v>
      </c>
      <c r="F969" s="2" t="str">
        <v>-</v>
      </c>
      <c r="G969" s="2" t="str">
        <v>-</v>
      </c>
    </row>
    <row r="970" xml:space="preserve">
      <c r="A970" s="2" t="str">
        <v>01/05 ВС</v>
      </c>
      <c r="B970" s="2" t="str" xml:space="preserve">
        <v xml:space="preserve">19:00_x000d_
TKP</v>
      </c>
      <c r="C970" s="2" t="str">
        <v>ХОРВАТИЯ ХОРВАТИЯ</v>
      </c>
      <c r="D970" s="2" t="str">
        <v>Хрваце-Змай Макарска</v>
      </c>
      <c r="E970" s="2" t="str">
        <v>-</v>
      </c>
      <c r="F970" s="2" t="str">
        <v>-</v>
      </c>
      <c r="G970" s="2" t="str">
        <v>-</v>
      </c>
    </row>
    <row r="971" xml:space="preserve">
      <c r="A971" s="2" t="str">
        <v>01/05 ВС</v>
      </c>
      <c r="B971" s="2" t="str" xml:space="preserve">
        <v xml:space="preserve">19:00_x000d_
TKP</v>
      </c>
      <c r="C971" s="2" t="str">
        <v>ХОРВАТИЯ ХОРВАТИЯ</v>
      </c>
      <c r="D971" s="2" t="str">
        <v>Горня Врба-Славия Плетерница</v>
      </c>
      <c r="E971" s="2" t="str">
        <v>-</v>
      </c>
      <c r="F971" s="2" t="str">
        <v>-</v>
      </c>
      <c r="G971" s="2" t="str">
        <v>-</v>
      </c>
    </row>
    <row r="972" xml:space="preserve">
      <c r="A972" s="2" t="str">
        <v>01/05 ВС</v>
      </c>
      <c r="B972" s="2" t="str" xml:space="preserve">
        <v xml:space="preserve">15:00_x000d_
TKP</v>
      </c>
      <c r="C972" s="2" t="str">
        <v>ХОРВАТИЯ ХОРВАТИЯ</v>
      </c>
      <c r="D972" s="2" t="str">
        <v>Задар (Ж)-Аграм Загреб (Ж)</v>
      </c>
      <c r="E972" s="2" t="str">
        <v>-</v>
      </c>
      <c r="F972" s="2" t="str">
        <v>-</v>
      </c>
      <c r="G972" s="2" t="str">
        <v>-</v>
      </c>
    </row>
    <row r="973" xml:space="preserve">
      <c r="A973" s="2" t="str">
        <v>01/05 ВС</v>
      </c>
      <c r="B973" s="2" t="str" xml:space="preserve">
        <v xml:space="preserve">15:00_x000d_
TKP</v>
      </c>
      <c r="C973" s="2" t="str">
        <v>ХОРВАТИЯ ХОРВАТИЯ</v>
      </c>
      <c r="D973" s="2" t="str">
        <v>Неретва (Ж)-Medimurje Cakovec (Ж)</v>
      </c>
      <c r="E973" s="2" t="str">
        <v>-</v>
      </c>
      <c r="F973" s="2" t="str">
        <v>-</v>
      </c>
      <c r="G973" s="2" t="str">
        <v>-</v>
      </c>
    </row>
    <row r="974" xml:space="preserve">
      <c r="A974" s="2" t="str">
        <v>01/05 ВС</v>
      </c>
      <c r="B974" s="2" t="str" xml:space="preserve">
        <v xml:space="preserve">18:00_x000d_
TKP</v>
      </c>
      <c r="C974" s="2" t="str">
        <v>ХОРВАТИЯ ХОРВАТИЯ</v>
      </c>
      <c r="D974" s="2" t="str">
        <v>Риека (Ж)-ЖНК Сплит (Ж)</v>
      </c>
      <c r="E974" s="2" t="str">
        <v>-</v>
      </c>
      <c r="F974" s="2" t="str">
        <v>-</v>
      </c>
      <c r="G974" s="2" t="str">
        <v>-</v>
      </c>
    </row>
    <row r="975">
      <c r="A975" s="2" t="str">
        <v>01/05 ВС</v>
      </c>
      <c r="B975" s="2" t="str">
        <v>18:30</v>
      </c>
      <c r="C975" s="2" t="str">
        <v>ЧЕРНОГОРИЯ ЧЕРНОГОРИЯ</v>
      </c>
      <c r="D975" s="2" t="str">
        <v>Бокель-Цетине</v>
      </c>
      <c r="E975" s="2" t="str">
        <v>-</v>
      </c>
      <c r="F975" s="2" t="str">
        <v>-</v>
      </c>
      <c r="G975" s="2" t="str">
        <v>-</v>
      </c>
    </row>
    <row r="976">
      <c r="A976" s="2" t="str">
        <v>01/05 ВС</v>
      </c>
      <c r="B976" s="2" t="str">
        <v>18:30</v>
      </c>
      <c r="C976" s="2" t="str">
        <v>ЧЕРНОГОРИЯ ЧЕРНОГОРИЯ</v>
      </c>
      <c r="D976" s="2" t="str">
        <v>Единство-Грбаль</v>
      </c>
      <c r="E976" s="2" t="str">
        <v>-</v>
      </c>
      <c r="F976" s="2" t="str">
        <v>-</v>
      </c>
      <c r="G976" s="2" t="str">
        <v>-</v>
      </c>
    </row>
    <row r="977">
      <c r="A977" s="2" t="str">
        <v>01/05 ВС</v>
      </c>
      <c r="B977" s="2" t="str">
        <v>18:30</v>
      </c>
      <c r="C977" s="2" t="str">
        <v>ЧЕРНОГОРИЯ ЧЕРНОГОРИЯ</v>
      </c>
      <c r="D977" s="2" t="str">
        <v>Игало-Беране</v>
      </c>
      <c r="E977" s="2" t="str">
        <v>-</v>
      </c>
      <c r="F977" s="2" t="str">
        <v>-</v>
      </c>
      <c r="G977" s="2" t="str">
        <v>-</v>
      </c>
    </row>
    <row r="978">
      <c r="A978" s="2" t="str">
        <v>01/05 ВС</v>
      </c>
      <c r="B978" s="2" t="str">
        <v>18:30</v>
      </c>
      <c r="C978" s="2" t="str">
        <v>ЧЕРНОГОРИЯ ЧЕРНОГОРИЯ</v>
      </c>
      <c r="D978" s="2" t="str">
        <v>Титоград-Ком Подгорица</v>
      </c>
      <c r="E978" s="2" t="str">
        <v>-</v>
      </c>
      <c r="F978" s="2" t="str">
        <v>-</v>
      </c>
      <c r="G978" s="2" t="str">
        <v>-</v>
      </c>
    </row>
    <row r="979">
      <c r="A979" s="2" t="str">
        <v>01/05 ВС</v>
      </c>
      <c r="B979" s="2" t="str">
        <v>22:00</v>
      </c>
      <c r="C979" s="2" t="str">
        <v>ЧЕРНОГОРИЯ ЧЕРНОГОРИЯ</v>
      </c>
      <c r="D979" s="2" t="str">
        <v>Младость ДГ-Арсенал Тиват</v>
      </c>
      <c r="E979" s="2" t="str">
        <v>-</v>
      </c>
      <c r="F979" s="2" t="str">
        <v>-</v>
      </c>
      <c r="G979" s="2" t="str">
        <v>-</v>
      </c>
    </row>
    <row r="980">
      <c r="A980" s="2" t="str">
        <v>01/05 ВС</v>
      </c>
      <c r="B980" s="2" t="str">
        <v>18:00</v>
      </c>
      <c r="C980" s="2" t="str">
        <v>ЧЕХИЯ ЧЕХИЯ</v>
      </c>
      <c r="D980" s="2" t="str">
        <v>Богемианс-Пардубице</v>
      </c>
      <c r="E980" s="2" t="str">
        <v>1.83</v>
      </c>
      <c r="F980" s="2" t="str">
        <v>3.50</v>
      </c>
      <c r="G980" s="2" t="str">
        <v>3.80</v>
      </c>
    </row>
    <row r="981">
      <c r="A981" s="2" t="str">
        <v>01/05 ВС</v>
      </c>
      <c r="B981" s="2" t="str">
        <v>18:00</v>
      </c>
      <c r="C981" s="2" t="str">
        <v>ЧЕХИЯ ЧЕХИЯ</v>
      </c>
      <c r="D981" s="2" t="str">
        <v>Злин-Теплице</v>
      </c>
      <c r="E981" s="2" t="str">
        <v>1.90</v>
      </c>
      <c r="F981" s="2" t="str">
        <v>3.40</v>
      </c>
      <c r="G981" s="2" t="str">
        <v>3.60</v>
      </c>
    </row>
    <row r="982">
      <c r="A982" s="2" t="str">
        <v>01/05 ВС</v>
      </c>
      <c r="B982" s="2" t="str">
        <v>18:00</v>
      </c>
      <c r="C982" s="2" t="str">
        <v>ЧЕХИЯ ЧЕХИЯ</v>
      </c>
      <c r="D982" s="2" t="str">
        <v>Яблонец-Карвина</v>
      </c>
      <c r="E982" s="2" t="str">
        <v>1.50</v>
      </c>
      <c r="F982" s="2" t="str">
        <v>3.80</v>
      </c>
      <c r="G982" s="2" t="str">
        <v>6.00</v>
      </c>
    </row>
    <row r="983">
      <c r="A983" s="2" t="str">
        <v>01/05 ВС</v>
      </c>
      <c r="B983" s="2" t="str">
        <v>21:00</v>
      </c>
      <c r="C983" s="2" t="str">
        <v>ЧЕХИЯ ЧЕХИЯ</v>
      </c>
      <c r="D983" s="2" t="str">
        <v>Славия Прага-Виктория Пльзень</v>
      </c>
      <c r="E983" s="2" t="str">
        <v>1.60</v>
      </c>
      <c r="F983" s="2" t="str">
        <v>3.60</v>
      </c>
      <c r="G983" s="2" t="str">
        <v>5.00</v>
      </c>
    </row>
    <row r="984">
      <c r="A984" s="2" t="str">
        <v>01/05 ВС</v>
      </c>
      <c r="B984" s="2" t="str">
        <v>15:15</v>
      </c>
      <c r="C984" s="2" t="str">
        <v>ЧЕХИЯ ЧЕХИЯ</v>
      </c>
      <c r="D984" s="2" t="str">
        <v>Влашим-Збройовка Брно</v>
      </c>
      <c r="E984" s="2" t="str">
        <v>2.30</v>
      </c>
      <c r="F984" s="2" t="str">
        <v>3.20</v>
      </c>
      <c r="G984" s="2" t="str">
        <v>2.75</v>
      </c>
    </row>
    <row r="985">
      <c r="A985" s="2" t="str">
        <v>01/05 ВС</v>
      </c>
      <c r="B985" s="2" t="str">
        <v>19:00</v>
      </c>
      <c r="C985" s="2" t="str">
        <v>ЧЕХИЯ ЧЕХИЯ</v>
      </c>
      <c r="D985" s="2" t="str">
        <v>Мас Таборско-Усти-над-Лабем</v>
      </c>
      <c r="E985" s="2" t="str">
        <v>1.66</v>
      </c>
      <c r="F985" s="2" t="str">
        <v>3.50</v>
      </c>
      <c r="G985" s="2" t="str">
        <v>4.33</v>
      </c>
    </row>
    <row r="986">
      <c r="A986" s="2" t="str">
        <v>01/05 ВС</v>
      </c>
      <c r="B986" s="2" t="str">
        <v>20:00</v>
      </c>
      <c r="C986" s="2" t="str">
        <v>ЧЕХИЯ ЧЕХИЯ</v>
      </c>
      <c r="D986" s="2" t="str">
        <v>Высочина Йиглава-Виктория Жижков</v>
      </c>
      <c r="E986" s="2" t="str">
        <v>1.44</v>
      </c>
      <c r="F986" s="2" t="str">
        <v>3.75</v>
      </c>
      <c r="G986" s="2" t="str">
        <v>6.50</v>
      </c>
    </row>
    <row r="987">
      <c r="A987" s="2" t="str">
        <v>01/05 ВС</v>
      </c>
      <c r="B987" s="2" t="str">
        <v>12:30</v>
      </c>
      <c r="C987" s="2" t="str">
        <v>ЧЕХИЯ ЧЕХИЯ</v>
      </c>
      <c r="D987" s="2" t="str">
        <v>Пршибрам (Б)-Домазлице</v>
      </c>
      <c r="E987" s="2" t="str">
        <v>-</v>
      </c>
      <c r="F987" s="2" t="str">
        <v>-</v>
      </c>
      <c r="G987" s="2" t="str">
        <v>-</v>
      </c>
    </row>
    <row r="988">
      <c r="A988" s="2" t="str">
        <v>01/05 ВС</v>
      </c>
      <c r="B988" s="2" t="str">
        <v>19:00</v>
      </c>
      <c r="C988" s="2" t="str">
        <v>ЧЕХИЯ ЧЕХИЯ</v>
      </c>
      <c r="D988" s="2" t="str">
        <v>Гостоунь-Славия Прага (Б)</v>
      </c>
      <c r="E988" s="2" t="str">
        <v>-</v>
      </c>
      <c r="F988" s="2" t="str">
        <v>-</v>
      </c>
      <c r="G988" s="2" t="str">
        <v>-</v>
      </c>
    </row>
    <row r="989">
      <c r="A989" s="2" t="str">
        <v>01/05 ВС</v>
      </c>
      <c r="B989" s="2" t="str">
        <v>19:00</v>
      </c>
      <c r="C989" s="2" t="str">
        <v>ЧЕХИЯ ЧЕХИЯ</v>
      </c>
      <c r="D989" s="2" t="str">
        <v>Повлтавска ФА-Плзень (Б)</v>
      </c>
      <c r="E989" s="2" t="str">
        <v>-</v>
      </c>
      <c r="F989" s="2" t="str">
        <v>-</v>
      </c>
      <c r="G989" s="2" t="str">
        <v>-</v>
      </c>
    </row>
    <row r="990">
      <c r="A990" s="2" t="str">
        <v>01/05 ВС</v>
      </c>
      <c r="B990" s="2" t="str">
        <v>12:15</v>
      </c>
      <c r="C990" s="2" t="str">
        <v>ЧЕХИЯ ЧЕХИЯ</v>
      </c>
      <c r="D990" s="2" t="str">
        <v>Богемианс 1905 (Б)-Брозаны</v>
      </c>
      <c r="E990" s="2" t="str">
        <v>-</v>
      </c>
      <c r="F990" s="2" t="str">
        <v>-</v>
      </c>
      <c r="G990" s="2" t="str">
        <v>-</v>
      </c>
    </row>
    <row r="991">
      <c r="A991" s="2" t="str">
        <v>01/05 ВС</v>
      </c>
      <c r="B991" s="2" t="str">
        <v>12:15</v>
      </c>
      <c r="C991" s="2" t="str">
        <v>ЧЕХИЯ ЧЕХИЯ</v>
      </c>
      <c r="D991" s="2" t="str">
        <v>Градец-Кралове (Б)-Пршеперже</v>
      </c>
      <c r="E991" s="2" t="str">
        <v>-</v>
      </c>
      <c r="F991" s="2" t="str">
        <v>-</v>
      </c>
      <c r="G991" s="2" t="str">
        <v>-</v>
      </c>
    </row>
    <row r="992">
      <c r="A992" s="2" t="str">
        <v>01/05 ВС</v>
      </c>
      <c r="B992" s="2" t="str">
        <v>12:15</v>
      </c>
      <c r="C992" s="2" t="str">
        <v>ЧЕХИЯ ЧЕХИЯ</v>
      </c>
      <c r="D992" s="2" t="str">
        <v>Либерец (Б)-Дукла Прага (Б)</v>
      </c>
      <c r="E992" s="2" t="str">
        <v>-</v>
      </c>
      <c r="F992" s="2" t="str">
        <v>-</v>
      </c>
      <c r="G992" s="2" t="str">
        <v>-</v>
      </c>
    </row>
    <row r="993">
      <c r="A993" s="2" t="str">
        <v>01/05 ВС</v>
      </c>
      <c r="B993" s="2" t="str">
        <v>12:15</v>
      </c>
      <c r="C993" s="2" t="str">
        <v>ЧЕХИЯ ЧЕХИЯ</v>
      </c>
      <c r="D993" s="2" t="str">
        <v>Млада-Болеслав (Б)-Збузани</v>
      </c>
      <c r="E993" s="2" t="str">
        <v>-</v>
      </c>
      <c r="F993" s="2" t="str">
        <v>-</v>
      </c>
      <c r="G993" s="2" t="str">
        <v>-</v>
      </c>
    </row>
    <row r="994">
      <c r="A994" s="2" t="str">
        <v>01/05 ВС</v>
      </c>
      <c r="B994" s="2" t="str">
        <v>12:15</v>
      </c>
      <c r="C994" s="2" t="str">
        <v>ЧЕХИЯ ЧЕХИЯ</v>
      </c>
      <c r="D994" s="2" t="str">
        <v>Хлумец-над-Цидлиноу-Пардубице (Б)</v>
      </c>
      <c r="E994" s="2" t="str">
        <v>-</v>
      </c>
      <c r="F994" s="2" t="str">
        <v>-</v>
      </c>
      <c r="G994" s="2" t="str">
        <v>-</v>
      </c>
    </row>
    <row r="995">
      <c r="A995" s="2" t="str">
        <v>01/05 ВС</v>
      </c>
      <c r="B995" s="2" t="str">
        <v>12:15</v>
      </c>
      <c r="C995" s="2" t="str">
        <v>ЧЕХИЯ ЧЕХИЯ</v>
      </c>
      <c r="D995" s="2" t="str">
        <v>Сигма Оломоуц (Б)-Уников</v>
      </c>
      <c r="E995" s="2" t="str">
        <v>-</v>
      </c>
      <c r="F995" s="2" t="str">
        <v>-</v>
      </c>
      <c r="G995" s="2" t="str">
        <v>-</v>
      </c>
    </row>
    <row r="996">
      <c r="A996" s="2" t="str">
        <v>01/05 ВС</v>
      </c>
      <c r="B996" s="2" t="str">
        <v>12:15</v>
      </c>
      <c r="C996" s="2" t="str">
        <v>ЧЕХИЯ ЧЕХИЯ</v>
      </c>
      <c r="D996" s="2" t="str">
        <v>Словацко (Б)-Врховина</v>
      </c>
      <c r="E996" s="2" t="str">
        <v>-</v>
      </c>
      <c r="F996" s="2" t="str">
        <v>-</v>
      </c>
      <c r="G996" s="2" t="str">
        <v>-</v>
      </c>
    </row>
    <row r="997">
      <c r="A997" s="2" t="str">
        <v>01/05 ВС</v>
      </c>
      <c r="B997" s="2" t="str">
        <v>18:30</v>
      </c>
      <c r="C997" s="2" t="str">
        <v>ЧЕХИЯ ЧЕХИЯ</v>
      </c>
      <c r="D997" s="2" t="str">
        <v>Росице-Йиглава (Б)</v>
      </c>
      <c r="E997" s="2" t="str">
        <v>-</v>
      </c>
      <c r="F997" s="2" t="str">
        <v>-</v>
      </c>
      <c r="G997" s="2" t="str">
        <v>-</v>
      </c>
    </row>
    <row r="998">
      <c r="A998" s="2" t="str">
        <v>01/05 ВС</v>
      </c>
      <c r="B998" s="2" t="str">
        <v>18:00</v>
      </c>
      <c r="C998" s="2" t="str">
        <v>ЧЕХИЯ ЧЕХИЯ</v>
      </c>
      <c r="D998" s="2" t="str">
        <v>Йиндржихув Градец-Ческе-Будеёвице (Б)</v>
      </c>
      <c r="E998" s="2" t="str">
        <v>-</v>
      </c>
      <c r="F998" s="2" t="str">
        <v>-</v>
      </c>
      <c r="G998" s="2" t="str">
        <v>-</v>
      </c>
    </row>
    <row r="999">
      <c r="A999" s="2" t="str">
        <v>01/05 ВС</v>
      </c>
      <c r="B999" s="2" t="str">
        <v>19:00</v>
      </c>
      <c r="C999" s="2" t="str">
        <v>ЧЕХИЯ ЧЕХИЯ</v>
      </c>
      <c r="D999" s="2" t="str">
        <v>Седльчани-Марианске-Лазне</v>
      </c>
      <c r="E999" s="2" t="str">
        <v>-</v>
      </c>
      <c r="F999" s="2" t="str">
        <v>-</v>
      </c>
      <c r="G999" s="2" t="str">
        <v>-</v>
      </c>
    </row>
    <row r="1000">
      <c r="A1000" s="2" t="str">
        <v>01/05 ВС</v>
      </c>
      <c r="B1000" s="2" t="str">
        <v>12:15</v>
      </c>
      <c r="C1000" s="2" t="str">
        <v>ЧЕХИЯ ЧЕХИЯ</v>
      </c>
      <c r="D1000" s="2" t="str">
        <v>Метеор Прага-Аритма Прага</v>
      </c>
      <c r="E1000" s="2" t="str">
        <v>-</v>
      </c>
      <c r="F1000" s="2" t="str">
        <v>-</v>
      </c>
      <c r="G1000" s="2" t="str">
        <v>-</v>
      </c>
    </row>
    <row r="1001">
      <c r="A1001" s="2" t="str">
        <v>01/05 ВС</v>
      </c>
      <c r="B1001" s="2" t="str">
        <v>19:00</v>
      </c>
      <c r="C1001" s="2" t="str">
        <v>ЧЕХИЯ ЧЕХИЯ</v>
      </c>
      <c r="D1001" s="2" t="str">
        <v>Лоуны-Нератовице</v>
      </c>
      <c r="E1001" s="2" t="str">
        <v>-</v>
      </c>
      <c r="F1001" s="2" t="str">
        <v>-</v>
      </c>
      <c r="G1001" s="2" t="str">
        <v>-</v>
      </c>
    </row>
    <row r="1002">
      <c r="A1002" s="2" t="str">
        <v>01/05 ВС</v>
      </c>
      <c r="B1002" s="2" t="str">
        <v>19:00</v>
      </c>
      <c r="C1002" s="2" t="str">
        <v>ЧЕХИЯ ЧЕХИЯ</v>
      </c>
      <c r="D1002" s="2" t="str">
        <v>Двур Кралове-Бенатки</v>
      </c>
      <c r="E1002" s="2" t="str">
        <v>-</v>
      </c>
      <c r="F1002" s="2" t="str">
        <v>-</v>
      </c>
      <c r="G1002" s="2" t="str">
        <v>-</v>
      </c>
    </row>
    <row r="1003">
      <c r="A1003" s="2" t="str">
        <v>01/05 ВС</v>
      </c>
      <c r="B1003" s="2" t="str">
        <v>19:00</v>
      </c>
      <c r="C1003" s="2" t="str">
        <v>ЧЕХИЯ ЧЕХИЯ</v>
      </c>
      <c r="D1003" s="2" t="str">
        <v>Поржичаны-Космоносы</v>
      </c>
      <c r="E1003" s="2" t="str">
        <v>-</v>
      </c>
      <c r="F1003" s="2" t="str">
        <v>-</v>
      </c>
      <c r="G1003" s="2" t="str">
        <v>-</v>
      </c>
    </row>
    <row r="1004">
      <c r="A1004" s="2" t="str">
        <v>01/05 ВС</v>
      </c>
      <c r="B1004" s="2" t="str">
        <v>12:15</v>
      </c>
      <c r="C1004" s="2" t="str">
        <v>ЧЕХИЯ ЧЕХИЯ</v>
      </c>
      <c r="D1004" s="2" t="str">
        <v>Брно (Б)-Старт Брно</v>
      </c>
      <c r="E1004" s="2" t="str">
        <v>-</v>
      </c>
      <c r="F1004" s="2" t="str">
        <v>-</v>
      </c>
      <c r="G1004" s="2" t="str">
        <v>-</v>
      </c>
    </row>
    <row r="1005">
      <c r="A1005" s="2" t="str">
        <v>01/05 ВС</v>
      </c>
      <c r="B1005" s="2" t="str">
        <v>18:30</v>
      </c>
      <c r="C1005" s="2" t="str">
        <v>ЧЕХИЯ ЧЕХИЯ</v>
      </c>
      <c r="D1005" s="2" t="str">
        <v>Гумполец-Тасовице</v>
      </c>
      <c r="E1005" s="2" t="str">
        <v>-</v>
      </c>
      <c r="F1005" s="2" t="str">
        <v>-</v>
      </c>
      <c r="G1005" s="2" t="str">
        <v>-</v>
      </c>
    </row>
    <row r="1006">
      <c r="A1006" s="2" t="str">
        <v>01/05 ВС</v>
      </c>
      <c r="B1006" s="2" t="str">
        <v>18:30</v>
      </c>
      <c r="C1006" s="2" t="str">
        <v>ЧЕХИЯ ЧЕХИЯ</v>
      </c>
      <c r="D1006" s="2" t="str">
        <v>Ждяр-над-Сазавоу-Бистршице-над-Пернштейнем</v>
      </c>
      <c r="E1006" s="2" t="str">
        <v>-</v>
      </c>
      <c r="F1006" s="2" t="str">
        <v>-</v>
      </c>
      <c r="G1006" s="2" t="str">
        <v>-</v>
      </c>
    </row>
    <row r="1007">
      <c r="A1007" s="2" t="str">
        <v>01/05 ВС</v>
      </c>
      <c r="B1007" s="2" t="str">
        <v>18:30</v>
      </c>
      <c r="C1007" s="2" t="str">
        <v>ЧЕХИЯ ЧЕХИЯ</v>
      </c>
      <c r="D1007" s="2" t="str">
        <v>Ланжот-Здирец</v>
      </c>
      <c r="E1007" s="2" t="str">
        <v>-</v>
      </c>
      <c r="F1007" s="2" t="str">
        <v>-</v>
      </c>
      <c r="G1007" s="2" t="str">
        <v>-</v>
      </c>
    </row>
    <row r="1008">
      <c r="A1008" s="2" t="str">
        <v>01/05 ВС</v>
      </c>
      <c r="B1008" s="2" t="str">
        <v>18:30</v>
      </c>
      <c r="C1008" s="2" t="str">
        <v>ЧЕХИЯ ЧЕХИЯ</v>
      </c>
      <c r="D1008" s="2" t="str">
        <v>Стара Рисе-Годонин</v>
      </c>
      <c r="E1008" s="2" t="str">
        <v>-</v>
      </c>
      <c r="F1008" s="2" t="str">
        <v>-</v>
      </c>
      <c r="G1008" s="2" t="str">
        <v>-</v>
      </c>
    </row>
    <row r="1009">
      <c r="A1009" s="2" t="str">
        <v>01/05 ВС</v>
      </c>
      <c r="B1009" s="2" t="str">
        <v>18:30</v>
      </c>
      <c r="C1009" s="2" t="str">
        <v>ЧЕХИЯ ЧЕХИЯ</v>
      </c>
      <c r="D1009" s="2" t="str">
        <v>Козловице-ХФК Оломоуц</v>
      </c>
      <c r="E1009" s="2" t="str">
        <v>-</v>
      </c>
      <c r="F1009" s="2" t="str">
        <v>-</v>
      </c>
      <c r="G1009" s="2" t="str">
        <v>-</v>
      </c>
    </row>
    <row r="1010">
      <c r="A1010" s="2" t="str">
        <v>01/05 ВС</v>
      </c>
      <c r="B1010" s="2" t="str">
        <v>12:15</v>
      </c>
      <c r="C1010" s="2" t="str">
        <v>ЧЕХИЯ ЧЕХИЯ</v>
      </c>
      <c r="D1010" s="2" t="str">
        <v>Гавиржов-Фридлант-над-Остравици</v>
      </c>
      <c r="E1010" s="2" t="str">
        <v>-</v>
      </c>
      <c r="F1010" s="2" t="str">
        <v>-</v>
      </c>
      <c r="G1010" s="2" t="str">
        <v>-</v>
      </c>
    </row>
    <row r="1011">
      <c r="A1011" s="2" t="str">
        <v>01/05 ВС</v>
      </c>
      <c r="B1011" s="2" t="str">
        <v>12:15</v>
      </c>
      <c r="C1011" s="2" t="str">
        <v>ЧЕХИЯ ЧЕХИЯ</v>
      </c>
      <c r="D1011" s="2" t="str">
        <v>Опава (Б)-Френштат-под-Радгоштем</v>
      </c>
      <c r="E1011" s="2" t="str">
        <v>-</v>
      </c>
      <c r="F1011" s="2" t="str">
        <v>-</v>
      </c>
      <c r="G1011" s="2" t="str">
        <v>-</v>
      </c>
    </row>
    <row r="1012">
      <c r="A1012" s="2" t="str">
        <v>01/05 ВС</v>
      </c>
      <c r="B1012" s="2" t="str">
        <v>18:30</v>
      </c>
      <c r="C1012" s="2" t="str">
        <v>ЧЕХИЯ ЧЕХИЯ</v>
      </c>
      <c r="D1012" s="2" t="str">
        <v>Богумин-Полянка-над-Одру</v>
      </c>
      <c r="E1012" s="2" t="str">
        <v>-</v>
      </c>
      <c r="F1012" s="2" t="str">
        <v>-</v>
      </c>
      <c r="G1012" s="2" t="str">
        <v>-</v>
      </c>
    </row>
    <row r="1013">
      <c r="A1013" s="2" t="str">
        <v>01/05 ВС</v>
      </c>
      <c r="B1013" s="2" t="str">
        <v>18:30</v>
      </c>
      <c r="C1013" s="2" t="str">
        <v>ЧЕХИЯ ЧЕХИЯ</v>
      </c>
      <c r="D1013" s="2" t="str">
        <v>Брунтал-Витковице</v>
      </c>
      <c r="E1013" s="2" t="str">
        <v>-</v>
      </c>
      <c r="F1013" s="2" t="str">
        <v>-</v>
      </c>
      <c r="G1013" s="2" t="str">
        <v>-</v>
      </c>
    </row>
    <row r="1014">
      <c r="A1014" s="2" t="str">
        <v>01/05 ВС</v>
      </c>
      <c r="B1014" s="2" t="str">
        <v>18:30</v>
      </c>
      <c r="C1014" s="2" t="str">
        <v>ЧЕХИЯ ЧЕХИЯ</v>
      </c>
      <c r="D1014" s="2" t="str">
        <v>Кобержице-Долни Датыне</v>
      </c>
      <c r="E1014" s="2" t="str">
        <v>-</v>
      </c>
      <c r="F1014" s="2" t="str">
        <v>-</v>
      </c>
      <c r="G1014" s="2" t="str">
        <v>-</v>
      </c>
    </row>
    <row r="1015">
      <c r="A1015" s="2" t="str">
        <v>01/05 ВС</v>
      </c>
      <c r="B1015" s="2" t="str">
        <v>18:30</v>
      </c>
      <c r="C1015" s="2" t="str">
        <v>ЧЕХИЯ ЧЕХИЯ</v>
      </c>
      <c r="D1015" s="2" t="str">
        <v>Мораван-Олдржишов-Якубчовице</v>
      </c>
      <c r="E1015" s="2" t="str">
        <v>-</v>
      </c>
      <c r="F1015" s="2" t="str">
        <v>-</v>
      </c>
      <c r="G1015" s="2" t="str">
        <v>-</v>
      </c>
    </row>
    <row r="1016">
      <c r="A1016" s="2" t="str">
        <v>01/05 ВС</v>
      </c>
      <c r="B1016" s="2" t="str">
        <v>18:30</v>
      </c>
      <c r="C1016" s="2" t="str">
        <v>ЧЕХИЯ ЧЕХИЯ</v>
      </c>
      <c r="D1016" s="2" t="str">
        <v>Боршице-Недашов</v>
      </c>
      <c r="E1016" s="2" t="str">
        <v>-</v>
      </c>
      <c r="F1016" s="2" t="str">
        <v>-</v>
      </c>
      <c r="G1016" s="2" t="str">
        <v>-</v>
      </c>
    </row>
    <row r="1017">
      <c r="A1017" s="2" t="str">
        <v>01/05 ВС</v>
      </c>
      <c r="B1017" s="2" t="str">
        <v>18:30</v>
      </c>
      <c r="C1017" s="2" t="str">
        <v>ЧЕХИЯ ЧЕХИЯ</v>
      </c>
      <c r="D1017" s="2" t="str">
        <v>Валашска Полянка-Бистршице-под-Гостинем</v>
      </c>
      <c r="E1017" s="2" t="str">
        <v>-</v>
      </c>
      <c r="F1017" s="2" t="str">
        <v>-</v>
      </c>
      <c r="G1017" s="2" t="str">
        <v>-</v>
      </c>
    </row>
    <row r="1018">
      <c r="A1018" s="2" t="str">
        <v>01/05 ВС</v>
      </c>
      <c r="B1018" s="2" t="str">
        <v>18:30</v>
      </c>
      <c r="C1018" s="2" t="str">
        <v>ЧЕХИЯ ЧЕХИЯ</v>
      </c>
      <c r="D1018" s="2" t="str">
        <v>Моравски Крумлов-Иванчице</v>
      </c>
      <c r="E1018" s="2" t="str">
        <v>-</v>
      </c>
      <c r="F1018" s="2" t="str">
        <v>-</v>
      </c>
      <c r="G1018" s="2" t="str">
        <v>-</v>
      </c>
    </row>
    <row r="1019">
      <c r="A1019" s="2" t="str">
        <v>01/05 ВС</v>
      </c>
      <c r="B1019" s="2" t="str">
        <v>18:30</v>
      </c>
      <c r="C1019" s="2" t="str">
        <v>ЧЕХИЯ ЧЕХИЯ</v>
      </c>
      <c r="D1019" s="2" t="str">
        <v>Раечко-Спарта Брно</v>
      </c>
      <c r="E1019" s="2" t="str">
        <v>-</v>
      </c>
      <c r="F1019" s="2" t="str">
        <v>-</v>
      </c>
      <c r="G1019" s="2" t="str">
        <v>-</v>
      </c>
    </row>
    <row r="1020">
      <c r="A1020" s="2" t="str">
        <v>01/05 ВС</v>
      </c>
      <c r="B1020" s="2" t="str">
        <v>12:30</v>
      </c>
      <c r="C1020" s="2" t="str">
        <v>ЧЕХИЯ ЧЕХИЯ</v>
      </c>
      <c r="D1020" s="2" t="str">
        <v>Сапели Полна-Окржишки</v>
      </c>
      <c r="E1020" s="2" t="str">
        <v>-</v>
      </c>
      <c r="F1020" s="2" t="str">
        <v>-</v>
      </c>
      <c r="G1020" s="2" t="str">
        <v>-</v>
      </c>
    </row>
    <row r="1021">
      <c r="A1021" s="2" t="str">
        <v>01/05 ВС</v>
      </c>
      <c r="B1021" s="2" t="str">
        <v>18:30</v>
      </c>
      <c r="C1021" s="2" t="str">
        <v>ЧЕХИЯ ЧЕХИЯ</v>
      </c>
      <c r="D1021" s="2" t="str">
        <v>Ледеч-над-Сазавоу-Требиц</v>
      </c>
      <c r="E1021" s="2" t="str">
        <v>-</v>
      </c>
      <c r="F1021" s="2" t="str">
        <v>-</v>
      </c>
      <c r="G1021" s="2" t="str">
        <v>-</v>
      </c>
    </row>
    <row r="1022">
      <c r="A1022" s="2" t="str">
        <v>01/05 ВС</v>
      </c>
      <c r="B1022" s="2" t="str">
        <v>18:30</v>
      </c>
      <c r="C1022" s="2" t="str">
        <v>ЧЕХИЯ ЧЕХИЯ</v>
      </c>
      <c r="D1022" s="2" t="str">
        <v>Пршибислав-Намешть-над-Ославой</v>
      </c>
      <c r="E1022" s="2" t="str">
        <v>-</v>
      </c>
      <c r="F1022" s="2" t="str">
        <v>-</v>
      </c>
      <c r="G1022" s="2" t="str">
        <v>-</v>
      </c>
    </row>
    <row r="1023">
      <c r="A1023" s="2" t="str">
        <v>01/05 ВС</v>
      </c>
      <c r="B1023" s="2" t="str">
        <v>15:30</v>
      </c>
      <c r="C1023" s="2" t="str">
        <v>ЧЕХИЯ ЧЕХИЯ</v>
      </c>
      <c r="D1023" s="2" t="str">
        <v>Рихнов-над-Кнежноу-Добрушка</v>
      </c>
      <c r="E1023" s="2" t="str">
        <v>-</v>
      </c>
      <c r="F1023" s="2" t="str">
        <v>-</v>
      </c>
      <c r="G1023" s="2" t="str">
        <v>-</v>
      </c>
    </row>
    <row r="1024">
      <c r="A1024" s="2" t="str">
        <v>01/05 ВС</v>
      </c>
      <c r="B1024" s="2" t="str">
        <v>19:00</v>
      </c>
      <c r="C1024" s="2" t="str">
        <v>ЧЕХИЯ ЧЕХИЯ</v>
      </c>
      <c r="D1024" s="2" t="str">
        <v>Врхлаби-Нови-Биджов</v>
      </c>
      <c r="E1024" s="2" t="str">
        <v>-</v>
      </c>
      <c r="F1024" s="2" t="str">
        <v>-</v>
      </c>
      <c r="G1024" s="2" t="str">
        <v>-</v>
      </c>
    </row>
    <row r="1025">
      <c r="A1025" s="2" t="str">
        <v>01/05 ВС</v>
      </c>
      <c r="B1025" s="2" t="str">
        <v>19:00</v>
      </c>
      <c r="C1025" s="2" t="str">
        <v>ЧЕХИЯ ЧЕХИЯ</v>
      </c>
      <c r="D1025" s="2" t="str">
        <v>Полице-над-Метуйи-Либчаны</v>
      </c>
      <c r="E1025" s="2" t="str">
        <v>-</v>
      </c>
      <c r="F1025" s="2" t="str">
        <v>-</v>
      </c>
      <c r="G1025" s="2" t="str">
        <v>-</v>
      </c>
    </row>
    <row r="1026">
      <c r="A1026" s="2" t="str">
        <v>01/05 ВС</v>
      </c>
      <c r="B1026" s="2" t="str">
        <v>19:00</v>
      </c>
      <c r="C1026" s="2" t="str">
        <v>ЧЕХИЯ ЧЕХИЯ</v>
      </c>
      <c r="D1026" s="2" t="str">
        <v>Тржебеш-Костелец</v>
      </c>
      <c r="E1026" s="2" t="str">
        <v>-</v>
      </c>
      <c r="F1026" s="2" t="str">
        <v>-</v>
      </c>
      <c r="G1026" s="2" t="str">
        <v>-</v>
      </c>
    </row>
    <row r="1027">
      <c r="A1027" s="2" t="str">
        <v>01/05 ВС</v>
      </c>
      <c r="B1027" s="2" t="str">
        <v>19:00</v>
      </c>
      <c r="C1027" s="2" t="str">
        <v>ЧЕХИЯ ЧЕХИЯ</v>
      </c>
      <c r="D1027" s="2" t="str">
        <v>Червеный Костелец-Хоржице</v>
      </c>
      <c r="E1027" s="2" t="str">
        <v>-</v>
      </c>
      <c r="F1027" s="2" t="str">
        <v>-</v>
      </c>
      <c r="G1027" s="2" t="str">
        <v>-</v>
      </c>
    </row>
    <row r="1028">
      <c r="A1028" s="2" t="str">
        <v>01/05 ВС</v>
      </c>
      <c r="B1028" s="2" t="str">
        <v>19:00</v>
      </c>
      <c r="C1028" s="2" t="str">
        <v>ЧЕХИЯ ЧЕХИЯ</v>
      </c>
      <c r="D1028" s="2" t="str">
        <v>Яромерж-Хлумец-над-Цидлиноу (Б)</v>
      </c>
      <c r="E1028" s="2" t="str">
        <v>-</v>
      </c>
      <c r="F1028" s="2" t="str">
        <v>-</v>
      </c>
      <c r="G1028" s="2" t="str">
        <v>-</v>
      </c>
    </row>
    <row r="1029">
      <c r="A1029" s="2" t="str">
        <v>01/05 ВС</v>
      </c>
      <c r="B1029" s="2" t="str">
        <v>12:30</v>
      </c>
      <c r="C1029" s="2" t="str">
        <v>ЧЕХИЯ ЧЕХИЯ</v>
      </c>
      <c r="D1029" s="2" t="str">
        <v>Скалице-у-Ческе-Липы-Фридлант</v>
      </c>
      <c r="E1029" s="2" t="str">
        <v>-</v>
      </c>
      <c r="F1029" s="2" t="str">
        <v>-</v>
      </c>
      <c r="G1029" s="2" t="str">
        <v>-</v>
      </c>
    </row>
    <row r="1030">
      <c r="A1030" s="2" t="str">
        <v>01/05 ВС</v>
      </c>
      <c r="B1030" s="2" t="str">
        <v>19:00</v>
      </c>
      <c r="C1030" s="2" t="str">
        <v>ЧЕХИЯ ЧЕХИЯ</v>
      </c>
      <c r="D1030" s="2" t="str">
        <v>Вишнёва-Градек-над-Нисой</v>
      </c>
      <c r="E1030" s="2" t="str">
        <v>-</v>
      </c>
      <c r="F1030" s="2" t="str">
        <v>-</v>
      </c>
      <c r="G1030" s="2" t="str">
        <v>-</v>
      </c>
    </row>
    <row r="1031">
      <c r="A1031" s="2" t="str">
        <v>01/05 ВС</v>
      </c>
      <c r="B1031" s="2" t="str">
        <v>12:30</v>
      </c>
      <c r="C1031" s="2" t="str">
        <v>ЧЕХИЯ ЧЕХИЯ</v>
      </c>
      <c r="D1031" s="2" t="str">
        <v>Кадан-Перштейн</v>
      </c>
      <c r="E1031" s="2" t="str">
        <v>-</v>
      </c>
      <c r="F1031" s="2" t="str">
        <v>-</v>
      </c>
      <c r="G1031" s="2" t="str">
        <v>-</v>
      </c>
    </row>
    <row r="1032">
      <c r="A1032" s="2" t="str">
        <v>01/05 ВС</v>
      </c>
      <c r="B1032" s="2" t="str">
        <v>17:00</v>
      </c>
      <c r="C1032" s="2" t="str">
        <v>ЧЕХИЯ ЧЕХИЯ</v>
      </c>
      <c r="D1032" s="2" t="str">
        <v>Баник Мост (Б)-Брна</v>
      </c>
      <c r="E1032" s="2" t="str">
        <v>-</v>
      </c>
      <c r="F1032" s="2" t="str">
        <v>-</v>
      </c>
      <c r="G1032" s="2" t="str">
        <v>-</v>
      </c>
    </row>
    <row r="1033">
      <c r="A1033" s="2" t="str">
        <v>01/05 ВС</v>
      </c>
      <c r="B1033" s="2" t="str">
        <v>19:00</v>
      </c>
      <c r="C1033" s="2" t="str">
        <v>ЧЕХИЯ ЧЕХИЯ</v>
      </c>
      <c r="D1033" s="2" t="str">
        <v>Модра-Жатец</v>
      </c>
      <c r="E1033" s="2" t="str">
        <v>-</v>
      </c>
      <c r="F1033" s="2" t="str">
        <v>-</v>
      </c>
      <c r="G1033" s="2" t="str">
        <v>-</v>
      </c>
    </row>
    <row r="1034">
      <c r="A1034" s="2" t="str">
        <v>01/05 ВС</v>
      </c>
      <c r="B1034" s="2" t="str">
        <v>18:00</v>
      </c>
      <c r="C1034" s="2" t="str">
        <v>ЧЕХИЯ ЧЕХИЯ</v>
      </c>
      <c r="D1034" s="2" t="str">
        <v>Станков-Горни-Бржиза</v>
      </c>
      <c r="E1034" s="2" t="str">
        <v>-</v>
      </c>
      <c r="F1034" s="2" t="str">
        <v>-</v>
      </c>
      <c r="G1034" s="2" t="str">
        <v>-</v>
      </c>
    </row>
    <row r="1035">
      <c r="A1035" s="2" t="str">
        <v>01/05 ВС</v>
      </c>
      <c r="B1035" s="2" t="str">
        <v>19:00</v>
      </c>
      <c r="C1035" s="2" t="str">
        <v>ЧЕХИЯ ЧЕХИЯ</v>
      </c>
      <c r="D1035" s="2" t="str">
        <v>Домазлице (Б)-Сокол Лхота</v>
      </c>
      <c r="E1035" s="2" t="str">
        <v>-</v>
      </c>
      <c r="F1035" s="2" t="str">
        <v>-</v>
      </c>
      <c r="G1035" s="2" t="str">
        <v>-</v>
      </c>
    </row>
    <row r="1036">
      <c r="A1036" s="2" t="str">
        <v>01/05 ВС</v>
      </c>
      <c r="B1036" s="2" t="str">
        <v>12:30</v>
      </c>
      <c r="C1036" s="2" t="str">
        <v>ЧЕХИЯ ЧЕХИЯ</v>
      </c>
      <c r="D1036" s="2" t="str">
        <v>Требон-Чески-Крумлов</v>
      </c>
      <c r="E1036" s="2" t="str">
        <v>-</v>
      </c>
      <c r="F1036" s="2" t="str">
        <v>-</v>
      </c>
      <c r="G1036" s="2" t="str">
        <v>-</v>
      </c>
    </row>
    <row r="1037">
      <c r="A1037" s="2" t="str">
        <v>01/05 ВС</v>
      </c>
      <c r="B1037" s="2" t="str">
        <v>19:00</v>
      </c>
      <c r="C1037" s="2" t="str">
        <v>ЧЕХИЯ ЧЕХИЯ</v>
      </c>
      <c r="D1037" s="2" t="str">
        <v>Милевско-Дразице</v>
      </c>
      <c r="E1037" s="2" t="str">
        <v>-</v>
      </c>
      <c r="F1037" s="2" t="str">
        <v>-</v>
      </c>
      <c r="G1037" s="2" t="str">
        <v>-</v>
      </c>
    </row>
    <row r="1038">
      <c r="A1038" s="2" t="str">
        <v>01/05 ВС</v>
      </c>
      <c r="B1038" s="2" t="str">
        <v>19:00</v>
      </c>
      <c r="C1038" s="2" t="str">
        <v>ЧЕХИЯ ЧЕХИЯ</v>
      </c>
      <c r="D1038" s="2" t="str">
        <v>Велим-Лхота</v>
      </c>
      <c r="E1038" s="2" t="str">
        <v>-</v>
      </c>
      <c r="F1038" s="2" t="str">
        <v>-</v>
      </c>
      <c r="G1038" s="2" t="str">
        <v>-</v>
      </c>
    </row>
    <row r="1039">
      <c r="A1039" s="2" t="str">
        <v>01/05 ВС</v>
      </c>
      <c r="B1039" s="2" t="str">
        <v>19:00</v>
      </c>
      <c r="C1039" s="2" t="str">
        <v>ЧЕХИЯ ЧЕХИЯ</v>
      </c>
      <c r="D1039" s="2" t="str">
        <v>Нимбурк-Лиса-над-Лабем</v>
      </c>
      <c r="E1039" s="2" t="str">
        <v>-</v>
      </c>
      <c r="F1039" s="2" t="str">
        <v>-</v>
      </c>
      <c r="G1039" s="2" t="str">
        <v>-</v>
      </c>
    </row>
    <row r="1040">
      <c r="A1040" s="2" t="str">
        <v>01/05 ВС</v>
      </c>
      <c r="B1040" s="2" t="str">
        <v>19:00</v>
      </c>
      <c r="C1040" s="2" t="str">
        <v>ЧЕХИЯ ЧЕХИЯ</v>
      </c>
      <c r="D1040" s="2" t="str">
        <v>Ческий Брод (Б)-Богемия Подебради</v>
      </c>
      <c r="E1040" s="2" t="str">
        <v>-</v>
      </c>
      <c r="F1040" s="2" t="str">
        <v>-</v>
      </c>
      <c r="G1040" s="2" t="str">
        <v>-</v>
      </c>
    </row>
    <row r="1041">
      <c r="A1041" s="2" t="str">
        <v>01/05 ВС</v>
      </c>
      <c r="B1041" s="2" t="str">
        <v>12:00</v>
      </c>
      <c r="C1041" s="2" t="str">
        <v>ЧЕХИЯ ЧЕХИЯ</v>
      </c>
      <c r="D1041" s="2" t="str">
        <v>Карловы Вары (Б)-Ломнице</v>
      </c>
      <c r="E1041" s="2" t="str">
        <v>-</v>
      </c>
      <c r="F1041" s="2" t="str">
        <v>-</v>
      </c>
      <c r="G1041" s="2" t="str">
        <v>-</v>
      </c>
    </row>
    <row r="1042">
      <c r="A1042" s="2" t="str">
        <v>01/05 ВС</v>
      </c>
      <c r="B1042" s="2" t="str">
        <v>18:30</v>
      </c>
      <c r="C1042" s="2" t="str">
        <v>ЧЕХИЯ ЧЕХИЯ</v>
      </c>
      <c r="D1042" s="2" t="str">
        <v>Богуновице-Кралице-на-Гане</v>
      </c>
      <c r="E1042" s="2" t="str">
        <v>-</v>
      </c>
      <c r="F1042" s="2" t="str">
        <v>-</v>
      </c>
      <c r="G1042" s="2" t="str">
        <v>-</v>
      </c>
    </row>
    <row r="1043">
      <c r="A1043" s="2" t="str">
        <v>01/05 ВС</v>
      </c>
      <c r="B1043" s="2" t="str">
        <v>18:30</v>
      </c>
      <c r="C1043" s="2" t="str">
        <v>ЧЕХИЯ ЧЕХИЯ</v>
      </c>
      <c r="D1043" s="2" t="str">
        <v>Бродек-у-Пршерова-Могельнице</v>
      </c>
      <c r="E1043" s="2" t="str">
        <v>-</v>
      </c>
      <c r="F1043" s="2" t="str">
        <v>-</v>
      </c>
      <c r="G1043" s="2" t="str">
        <v>-</v>
      </c>
    </row>
    <row r="1044">
      <c r="A1044" s="2" t="str">
        <v>01/05 ВС</v>
      </c>
      <c r="B1044" s="2" t="str">
        <v>18:30</v>
      </c>
      <c r="C1044" s="2" t="str">
        <v>ЧЕХИЯ ЧЕХИЯ</v>
      </c>
      <c r="D1044" s="2" t="str">
        <v>Забржег-Сокол Усти</v>
      </c>
      <c r="E1044" s="2" t="str">
        <v>-</v>
      </c>
      <c r="F1044" s="2" t="str">
        <v>-</v>
      </c>
      <c r="G1044" s="2" t="str">
        <v>-</v>
      </c>
    </row>
    <row r="1045">
      <c r="A1045" s="2" t="str">
        <v>01/05 ВС</v>
      </c>
      <c r="B1045" s="2" t="str">
        <v>18:30</v>
      </c>
      <c r="C1045" s="2" t="str">
        <v>ЧЕХИЯ ЧЕХИЯ</v>
      </c>
      <c r="D1045" s="2" t="str">
        <v>Медлов-Доляны</v>
      </c>
      <c r="E1045" s="2" t="str">
        <v>-</v>
      </c>
      <c r="F1045" s="2" t="str">
        <v>-</v>
      </c>
      <c r="G1045" s="2" t="str">
        <v>-</v>
      </c>
    </row>
    <row r="1046">
      <c r="A1046" s="2" t="str">
        <v>01/05 ВС</v>
      </c>
      <c r="B1046" s="2" t="str">
        <v>18:30</v>
      </c>
      <c r="C1046" s="2" t="str">
        <v>ЧЕХИЯ ЧЕХИЯ</v>
      </c>
      <c r="D1046" s="2" t="str">
        <v>Рапотин-Литовель</v>
      </c>
      <c r="E1046" s="2" t="str">
        <v>-</v>
      </c>
      <c r="F1046" s="2" t="str">
        <v>-</v>
      </c>
      <c r="G1046" s="2" t="str">
        <v>-</v>
      </c>
    </row>
    <row r="1047">
      <c r="A1047" s="2" t="str">
        <v>01/05 ВС</v>
      </c>
      <c r="B1047" s="2" t="str">
        <v>12:15</v>
      </c>
      <c r="C1047" s="2" t="str">
        <v>ЧЕХИЯ ЧЕХИЯ</v>
      </c>
      <c r="D1047" s="2" t="str">
        <v>Хрудим (Б)-Роговладова Бела</v>
      </c>
      <c r="E1047" s="2" t="str">
        <v>-</v>
      </c>
      <c r="F1047" s="2" t="str">
        <v>-</v>
      </c>
      <c r="G1047" s="2" t="str">
        <v>-</v>
      </c>
    </row>
    <row r="1048">
      <c r="A1048" s="2" t="str">
        <v>01/05 ВС</v>
      </c>
      <c r="B1048" s="2" t="str">
        <v>18:00</v>
      </c>
      <c r="C1048" s="2" t="str">
        <v>ЧЕХИЯ ЧЕХИЯ</v>
      </c>
      <c r="D1048" s="2" t="str">
        <v>Гержманув Местец-Хоцень</v>
      </c>
      <c r="E1048" s="2" t="str">
        <v>-</v>
      </c>
      <c r="F1048" s="2" t="str">
        <v>-</v>
      </c>
      <c r="G1048" s="2" t="str">
        <v>-</v>
      </c>
    </row>
    <row r="1049">
      <c r="A1049" s="2" t="str">
        <v>01/05 ВС</v>
      </c>
      <c r="B1049" s="2" t="str">
        <v>18:00</v>
      </c>
      <c r="C1049" s="2" t="str">
        <v>ЧЕХИЯ ЧЕХИЯ</v>
      </c>
      <c r="D1049" s="2" t="str">
        <v>Мораваны-Лузе</v>
      </c>
      <c r="E1049" s="2" t="str">
        <v>-</v>
      </c>
      <c r="F1049" s="2" t="str">
        <v>-</v>
      </c>
      <c r="G1049" s="2" t="str">
        <v>-</v>
      </c>
    </row>
    <row r="1050">
      <c r="A1050" s="2" t="str">
        <v>01/05 ВС</v>
      </c>
      <c r="B1050" s="2" t="str">
        <v>18:00</v>
      </c>
      <c r="C1050" s="2" t="str">
        <v>ЧЕХИЯ ЧЕХИЯ</v>
      </c>
      <c r="D1050" s="2" t="str">
        <v>Моравска-Тршебова-Просеч</v>
      </c>
      <c r="E1050" s="2" t="str">
        <v>-</v>
      </c>
      <c r="F1050" s="2" t="str">
        <v>-</v>
      </c>
      <c r="G1050" s="2" t="str">
        <v>-</v>
      </c>
    </row>
    <row r="1051">
      <c r="A1051" s="2" t="str">
        <v>01/05 ВС</v>
      </c>
      <c r="B1051" s="2" t="str">
        <v>18:00</v>
      </c>
      <c r="C1051" s="2" t="str">
        <v>ЧЕХИЯ ЧЕХИЯ</v>
      </c>
      <c r="D1051" s="2" t="str">
        <v>Свитави-Ланшкроун</v>
      </c>
      <c r="E1051" s="2" t="str">
        <v>-</v>
      </c>
      <c r="F1051" s="2" t="str">
        <v>-</v>
      </c>
      <c r="G1051" s="2" t="str">
        <v>-</v>
      </c>
    </row>
    <row r="1052">
      <c r="A1052" s="2" t="str">
        <v>01/05 ВС</v>
      </c>
      <c r="B1052" s="2" t="str">
        <v>12:30</v>
      </c>
      <c r="C1052" s="2" t="str">
        <v>ЧЕХИЯ ЧЕХИЯ</v>
      </c>
      <c r="D1052" s="2" t="str">
        <v>Дукла Прага (Ж)-Пльзень (Ж)</v>
      </c>
      <c r="E1052" s="2" t="str">
        <v>-</v>
      </c>
      <c r="F1052" s="2" t="str">
        <v>-</v>
      </c>
      <c r="G1052" s="2" t="str">
        <v>-</v>
      </c>
    </row>
    <row r="1053">
      <c r="A1053" s="2" t="str">
        <v>01/05 ВС</v>
      </c>
      <c r="B1053" s="2" t="str">
        <v>15:00</v>
      </c>
      <c r="C1053" s="2" t="str">
        <v>ЧЕХИЯ ЧЕХИЯ</v>
      </c>
      <c r="D1053" s="2" t="str">
        <v>Пардубице (Ж)-Слован Либерец (Ж)</v>
      </c>
      <c r="E1053" s="2" t="str">
        <v>-</v>
      </c>
      <c r="F1053" s="2" t="str">
        <v>-</v>
      </c>
      <c r="G1053" s="2" t="str">
        <v>-</v>
      </c>
    </row>
    <row r="1054">
      <c r="A1054" s="2" t="str">
        <v>01/05 ВС</v>
      </c>
      <c r="B1054" s="2" t="str">
        <v>15:00</v>
      </c>
      <c r="C1054" s="2" t="str">
        <v>ЧЕХИЯ ЧЕХИЯ</v>
      </c>
      <c r="D1054" s="2" t="str">
        <v>Словацко (Ж)-Спарта Прага (Ж)</v>
      </c>
      <c r="E1054" s="2" t="str">
        <v>-</v>
      </c>
      <c r="F1054" s="2" t="str">
        <v>-</v>
      </c>
      <c r="G1054" s="2" t="str">
        <v>-</v>
      </c>
    </row>
    <row r="1055">
      <c r="A1055" s="2" t="str">
        <v>01/05 ВС</v>
      </c>
      <c r="B1055" s="2" t="str">
        <v>16:30</v>
      </c>
      <c r="C1055" s="2" t="str">
        <v>ЧЕХИЯ ЧЕХИЯ</v>
      </c>
      <c r="D1055" s="2" t="str">
        <v>Оломоуц (Ж)-Теплице (Ж)</v>
      </c>
      <c r="E1055" s="2" t="str">
        <v>-</v>
      </c>
      <c r="F1055" s="2" t="str">
        <v>-</v>
      </c>
      <c r="G1055" s="2" t="str">
        <v>-</v>
      </c>
    </row>
    <row r="1056">
      <c r="A1056" s="2" t="str">
        <v>01/05 ВС</v>
      </c>
      <c r="B1056" s="2" t="str">
        <v>17:00</v>
      </c>
      <c r="C1056" s="2" t="str">
        <v>ЧЕХИЯ ЧЕХИЯ</v>
      </c>
      <c r="D1056" s="2" t="str">
        <v>Градец-Кралове (Ж)-Лишень (Ж)</v>
      </c>
      <c r="E1056" s="2" t="str">
        <v>-</v>
      </c>
      <c r="F1056" s="2" t="str">
        <v>-</v>
      </c>
      <c r="G1056" s="2" t="str">
        <v>-</v>
      </c>
    </row>
    <row r="1057">
      <c r="A1057" s="2" t="str">
        <v>01/05 ВС</v>
      </c>
      <c r="B1057" s="2" t="str">
        <v>17:00</v>
      </c>
      <c r="C1057" s="2" t="str">
        <v>ЧЕХИЯ ЧЕХИЯ</v>
      </c>
      <c r="D1057" s="2" t="str">
        <v>Спарта Прага (Б) (Ж)-Острава (Ж)</v>
      </c>
      <c r="E1057" s="2" t="str">
        <v>-</v>
      </c>
      <c r="F1057" s="2" t="str">
        <v>-</v>
      </c>
      <c r="G1057" s="2" t="str">
        <v>-</v>
      </c>
    </row>
    <row r="1058">
      <c r="A1058" s="2" t="str">
        <v>01/05 ВС</v>
      </c>
      <c r="B1058" s="2" t="str">
        <v>01:00</v>
      </c>
      <c r="C1058" s="2" t="str">
        <v>ЧИЛИ ЧИЛИ</v>
      </c>
      <c r="D1058" s="2" t="str">
        <v>Рейнджерс Де Талка-С. Монинг</v>
      </c>
      <c r="E1058" s="2" t="str">
        <v>-</v>
      </c>
      <c r="F1058" s="2" t="str">
        <v>-</v>
      </c>
      <c r="G1058" s="2" t="str">
        <v>-</v>
      </c>
    </row>
    <row r="1059">
      <c r="A1059" s="2" t="str">
        <v>01/05 ВС</v>
      </c>
      <c r="B1059" s="2" t="str">
        <v>03:30</v>
      </c>
      <c r="C1059" s="2" t="str">
        <v>ЧИЛИ ЧИЛИ</v>
      </c>
      <c r="D1059" s="2" t="str">
        <v>Реколета-Сантьяго Вандерерс</v>
      </c>
      <c r="E1059" s="2" t="str">
        <v>-</v>
      </c>
      <c r="F1059" s="2" t="str">
        <v>-</v>
      </c>
      <c r="G1059" s="2" t="str">
        <v>-</v>
      </c>
    </row>
    <row r="1060">
      <c r="A1060" s="2" t="str">
        <v>01/05 ВС</v>
      </c>
      <c r="B1060" s="2" t="str">
        <v>16:15</v>
      </c>
      <c r="C1060" s="2" t="str">
        <v>ШВЕЙЦАРИЯ ШВЕЙЦАРИЯ</v>
      </c>
      <c r="D1060" s="2" t="str">
        <v>Сьон-Янг Бойз</v>
      </c>
      <c r="E1060" s="2" t="str">
        <v>4.20</v>
      </c>
      <c r="F1060" s="2" t="str">
        <v>4.50</v>
      </c>
      <c r="G1060" s="2" t="str">
        <v>1.70</v>
      </c>
    </row>
    <row r="1061">
      <c r="A1061" s="2" t="str">
        <v>01/05 ВС</v>
      </c>
      <c r="B1061" s="2" t="str">
        <v>18:30</v>
      </c>
      <c r="C1061" s="2" t="str">
        <v>ШВЕЙЦАРИЯ ШВЕЙЦАРИЯ</v>
      </c>
      <c r="D1061" s="2" t="str">
        <v>Базель-Цюрих</v>
      </c>
      <c r="E1061" s="2" t="str">
        <v>2.50</v>
      </c>
      <c r="F1061" s="2" t="str">
        <v>3.50</v>
      </c>
      <c r="G1061" s="2" t="str">
        <v>2.70</v>
      </c>
    </row>
    <row r="1062">
      <c r="A1062" s="2" t="str">
        <v>01/05 ВС</v>
      </c>
      <c r="B1062" s="2" t="str">
        <v>18:30</v>
      </c>
      <c r="C1062" s="2" t="str">
        <v>ШВЕЙЦАРИЯ ШВЕЙЦАРИЯ</v>
      </c>
      <c r="D1062" s="2" t="str">
        <v>Люцерн-Лозанна</v>
      </c>
      <c r="E1062" s="2" t="str">
        <v>1.75</v>
      </c>
      <c r="F1062" s="2" t="str">
        <v>3.80</v>
      </c>
      <c r="G1062" s="2" t="str">
        <v>4.50</v>
      </c>
    </row>
    <row r="1063" xml:space="preserve">
      <c r="A1063" s="2" t="str">
        <v>01/05 ВС</v>
      </c>
      <c r="B1063" s="2" t="str" xml:space="preserve">
        <v xml:space="preserve">16:00_x000d_
TKP</v>
      </c>
      <c r="C1063" s="2" t="str">
        <v>ШВЕЙЦАРИЯ ШВЕЙЦАРИЯ</v>
      </c>
      <c r="D1063" s="2" t="str">
        <v>Лозанна II-Монтей</v>
      </c>
      <c r="E1063" s="2" t="str">
        <v>-</v>
      </c>
      <c r="F1063" s="2" t="str">
        <v>-</v>
      </c>
      <c r="G1063" s="2" t="str">
        <v>-</v>
      </c>
    </row>
    <row r="1064" xml:space="preserve">
      <c r="A1064" s="2" t="str">
        <v>01/05 ВС</v>
      </c>
      <c r="B1064" s="2" t="str" xml:space="preserve">
        <v xml:space="preserve">16:00_x000d_
TKP</v>
      </c>
      <c r="C1064" s="2" t="str">
        <v>ШВЕЙЦАРИЯ ШВЕЙЦАРИЯ</v>
      </c>
      <c r="D1064" s="2" t="str">
        <v>Тун II-Веве</v>
      </c>
      <c r="E1064" s="2" t="str">
        <v>-</v>
      </c>
      <c r="F1064" s="2" t="str">
        <v>-</v>
      </c>
      <c r="G1064" s="2" t="str">
        <v>-</v>
      </c>
    </row>
    <row r="1065" xml:space="preserve">
      <c r="A1065" s="2" t="str">
        <v>01/05 ВС</v>
      </c>
      <c r="B1065" s="2" t="str" xml:space="preserve">
        <v xml:space="preserve">17:00_x000d_
TKP</v>
      </c>
      <c r="C1065" s="2" t="str">
        <v>ШВЕЙЦАРИЯ ШВЕЙЦАРИЯ</v>
      </c>
      <c r="D1065" s="2" t="str">
        <v>Саррас-Эклеплен-Терр-Сент</v>
      </c>
      <c r="E1065" s="2" t="str">
        <v>-</v>
      </c>
      <c r="F1065" s="2" t="str">
        <v>-</v>
      </c>
      <c r="G1065" s="2" t="str">
        <v>-</v>
      </c>
    </row>
    <row r="1066" xml:space="preserve">
      <c r="A1066" s="2" t="str">
        <v>01/05 ВС</v>
      </c>
      <c r="B1066" s="2" t="str" xml:space="preserve">
        <v xml:space="preserve">17:00_x000d_
TKP</v>
      </c>
      <c r="C1066" s="2" t="str">
        <v>ШВЕЙЦАРИЯ ШВЕЙЦАРИЯ</v>
      </c>
      <c r="D1066" s="2" t="str">
        <v>Лангенталь-Мюнзинген</v>
      </c>
      <c r="E1066" s="2" t="str">
        <v>-</v>
      </c>
      <c r="F1066" s="2" t="str">
        <v>-</v>
      </c>
      <c r="G1066" s="2" t="str">
        <v>-</v>
      </c>
    </row>
    <row r="1067" xml:space="preserve">
      <c r="A1067" s="2" t="str">
        <v>01/05 ВС</v>
      </c>
      <c r="B1067" s="2" t="str" xml:space="preserve">
        <v xml:space="preserve">16:00_x000d_
TKP</v>
      </c>
      <c r="C1067" s="2" t="str">
        <v>ШВЕЙЦАРИЯ ШВЕЙЦАРИЯ</v>
      </c>
      <c r="D1067" s="2" t="str">
        <v>Лугано II-Госсау</v>
      </c>
      <c r="E1067" s="2" t="str">
        <v>-</v>
      </c>
      <c r="F1067" s="2" t="str">
        <v>-</v>
      </c>
      <c r="G1067" s="2" t="str">
        <v>-</v>
      </c>
    </row>
    <row r="1068">
      <c r="A1068" s="2" t="str">
        <v>01/05 ВС</v>
      </c>
      <c r="B1068" s="2" t="str">
        <v>17:00</v>
      </c>
      <c r="C1068" s="2" t="str">
        <v>ШВЕЦИЯ ШВЕЦИЯ</v>
      </c>
      <c r="D1068" s="2" t="str">
        <v>Дегерфорс-Эльфсборг</v>
      </c>
      <c r="E1068" s="2" t="str">
        <v>4.00</v>
      </c>
      <c r="F1068" s="2" t="str">
        <v>4.20</v>
      </c>
      <c r="G1068" s="2" t="str">
        <v>1.75</v>
      </c>
    </row>
    <row r="1069">
      <c r="A1069" s="2" t="str">
        <v>01/05 ВС</v>
      </c>
      <c r="B1069" s="2" t="str">
        <v>17:00</v>
      </c>
      <c r="C1069" s="2" t="str">
        <v>ШВЕЦИЯ ШВЕЦИЯ</v>
      </c>
      <c r="D1069" s="2" t="str">
        <v>Мьёльбю-Хельсингборг</v>
      </c>
      <c r="E1069" s="2" t="str">
        <v>1.75</v>
      </c>
      <c r="F1069" s="2" t="str">
        <v>3.50</v>
      </c>
      <c r="G1069" s="2" t="str">
        <v>5.00</v>
      </c>
    </row>
    <row r="1070">
      <c r="A1070" s="2" t="str">
        <v>01/05 ВС</v>
      </c>
      <c r="B1070" s="2" t="str">
        <v>19:30</v>
      </c>
      <c r="C1070" s="2" t="str">
        <v>ШВЕЦИЯ ШВЕЦИЯ</v>
      </c>
      <c r="D1070" s="2" t="str">
        <v>Сундсвалль-АИК</v>
      </c>
      <c r="E1070" s="2" t="str">
        <v>6.00</v>
      </c>
      <c r="F1070" s="2" t="str">
        <v>4.00</v>
      </c>
      <c r="G1070" s="2" t="str">
        <v>1.55</v>
      </c>
    </row>
    <row r="1071">
      <c r="A1071" s="2" t="str">
        <v>01/05 ВС</v>
      </c>
      <c r="B1071" s="2" t="str">
        <v>19:30</v>
      </c>
      <c r="C1071" s="2" t="str">
        <v>ШВЕЦИЯ ШВЕЦИЯ</v>
      </c>
      <c r="D1071" s="2" t="str">
        <v>Хеккен-Варберг</v>
      </c>
      <c r="E1071" s="2" t="str">
        <v>1.65</v>
      </c>
      <c r="F1071" s="2" t="str">
        <v>3.60</v>
      </c>
      <c r="G1071" s="2" t="str">
        <v>6.00</v>
      </c>
    </row>
    <row r="1072">
      <c r="A1072" s="2" t="str">
        <v>01/05 ВС</v>
      </c>
      <c r="B1072" s="2" t="str">
        <v>15:00</v>
      </c>
      <c r="C1072" s="2" t="str">
        <v>ШВЕЦИЯ ШВЕЦИЯ</v>
      </c>
      <c r="D1072" s="2" t="str">
        <v>Вестерос-Эребру</v>
      </c>
      <c r="E1072" s="2" t="str">
        <v>2.70</v>
      </c>
      <c r="F1072" s="2" t="str">
        <v>3.20</v>
      </c>
      <c r="G1072" s="2" t="str">
        <v>2.70</v>
      </c>
    </row>
    <row r="1073">
      <c r="A1073" s="2" t="str">
        <v>01/05 ВС</v>
      </c>
      <c r="B1073" s="2" t="str">
        <v>17:00</v>
      </c>
      <c r="C1073" s="2" t="str">
        <v>ШВЕЦИЯ ШВЕЦИЯ</v>
      </c>
      <c r="D1073" s="2" t="str">
        <v>Эргрюте-Ютсиктенс</v>
      </c>
      <c r="E1073" s="2" t="str">
        <v>2.05</v>
      </c>
      <c r="F1073" s="2" t="str">
        <v>3.60</v>
      </c>
      <c r="G1073" s="2" t="str">
        <v>3.50</v>
      </c>
    </row>
    <row r="1074">
      <c r="A1074" s="2" t="str">
        <v>01/05 ВС</v>
      </c>
      <c r="B1074" s="2" t="str">
        <v>16:00</v>
      </c>
      <c r="C1074" s="2" t="str">
        <v>ШВЕЦИЯ ШВЕЦИЯ</v>
      </c>
      <c r="D1074" s="2" t="str">
        <v>Питео-Тебю</v>
      </c>
      <c r="E1074" s="2" t="str">
        <v>-</v>
      </c>
      <c r="F1074" s="2" t="str">
        <v>-</v>
      </c>
      <c r="G1074" s="2" t="str">
        <v>-</v>
      </c>
    </row>
    <row r="1075">
      <c r="A1075" s="2" t="str">
        <v>01/05 ВС</v>
      </c>
      <c r="B1075" s="2" t="str">
        <v>19:00</v>
      </c>
      <c r="C1075" s="2" t="str">
        <v>ШВЕЦИЯ ШВЕЦИЯ</v>
      </c>
      <c r="D1075" s="2" t="str">
        <v>Умео-Стокгольм Интер</v>
      </c>
      <c r="E1075" s="2" t="str">
        <v>-</v>
      </c>
      <c r="F1075" s="2" t="str">
        <v>-</v>
      </c>
      <c r="G1075" s="2" t="str">
        <v>-</v>
      </c>
    </row>
    <row r="1076" xml:space="preserve">
      <c r="A1076" s="2" t="str">
        <v>01/05 ВС</v>
      </c>
      <c r="B1076" s="2" t="str" xml:space="preserve">
        <v xml:space="preserve">18:00_x000d_
TKP</v>
      </c>
      <c r="C1076" s="2" t="str">
        <v>ШВЕЦИЯ ШВЕЦИЯ</v>
      </c>
      <c r="D1076" s="2" t="str">
        <v>Эстерсунд-Готтне</v>
      </c>
      <c r="E1076" s="2" t="str">
        <v>-</v>
      </c>
      <c r="F1076" s="2" t="str">
        <v>-</v>
      </c>
      <c r="G1076" s="2" t="str">
        <v>-</v>
      </c>
    </row>
    <row r="1077" xml:space="preserve">
      <c r="A1077" s="2" t="str">
        <v>01/05 ВС</v>
      </c>
      <c r="B1077" s="2" t="str" xml:space="preserve">
        <v xml:space="preserve">16:00_x000d_
TKP</v>
      </c>
      <c r="C1077" s="2" t="str">
        <v>ШВЕЦИЯ ШВЕЦИЯ</v>
      </c>
      <c r="D1077" s="2" t="str">
        <v>Скильебо-Forsbacka IK</v>
      </c>
      <c r="E1077" s="2" t="str">
        <v>-</v>
      </c>
      <c r="F1077" s="2" t="str">
        <v>-</v>
      </c>
      <c r="G1077" s="2" t="str">
        <v>-</v>
      </c>
    </row>
    <row r="1078" xml:space="preserve">
      <c r="A1078" s="2" t="str">
        <v>01/05 ВС</v>
      </c>
      <c r="B1078" s="2" t="str" xml:space="preserve">
        <v xml:space="preserve">18:00_x000d_
TKP</v>
      </c>
      <c r="C1078" s="2" t="str">
        <v>ШВЕЦИЯ ШВЕЦИЯ</v>
      </c>
      <c r="D1078" s="2" t="str">
        <v>Ragsveds-Остеракер</v>
      </c>
      <c r="E1078" s="2" t="str">
        <v>-</v>
      </c>
      <c r="F1078" s="2" t="str">
        <v>-</v>
      </c>
      <c r="G1078" s="2" t="str">
        <v>-</v>
      </c>
    </row>
    <row r="1079" xml:space="preserve">
      <c r="A1079" s="2" t="str">
        <v>01/05 ВС</v>
      </c>
      <c r="B1079" s="2" t="str" xml:space="preserve">
        <v xml:space="preserve">16:00_x000d_
TKP</v>
      </c>
      <c r="C1079" s="2" t="str">
        <v>ШВЕЦИЯ ШВЕЦИЯ</v>
      </c>
      <c r="D1079" s="2" t="str">
        <v>Торсланда-Хускварна</v>
      </c>
      <c r="E1079" s="2" t="str">
        <v>-</v>
      </c>
      <c r="F1079" s="2" t="str">
        <v>-</v>
      </c>
      <c r="G1079" s="2" t="str">
        <v>-</v>
      </c>
    </row>
    <row r="1080" xml:space="preserve">
      <c r="A1080" s="2" t="str">
        <v>01/05 ВС</v>
      </c>
      <c r="B1080" s="2" t="str" xml:space="preserve">
        <v xml:space="preserve">17:00_x000d_
TKP</v>
      </c>
      <c r="C1080" s="2" t="str">
        <v>ШВЕЦИЯ ШВЕЦИЯ</v>
      </c>
      <c r="D1080" s="2" t="str">
        <v>Берга-Росенгард</v>
      </c>
      <c r="E1080" s="2" t="str">
        <v>-</v>
      </c>
      <c r="F1080" s="2" t="str">
        <v>-</v>
      </c>
      <c r="G1080" s="2" t="str">
        <v>-</v>
      </c>
    </row>
    <row r="1081" xml:space="preserve">
      <c r="A1081" s="2" t="str">
        <v>01/05 ВС</v>
      </c>
      <c r="B1081" s="2" t="str" xml:space="preserve">
        <v xml:space="preserve">16:00_x000d_
TKP</v>
      </c>
      <c r="C1081" s="2" t="str">
        <v>ШВЕЦИЯ ШВЕЦИЯ</v>
      </c>
      <c r="D1081" s="2" t="str">
        <v>Ассириска-Трёса</v>
      </c>
      <c r="E1081" s="2" t="str">
        <v>-</v>
      </c>
      <c r="F1081" s="2" t="str">
        <v>-</v>
      </c>
      <c r="G1081" s="2" t="str">
        <v>-</v>
      </c>
    </row>
    <row r="1082" xml:space="preserve">
      <c r="A1082" s="2" t="str">
        <v>01/05 ВС</v>
      </c>
      <c r="B1082" s="2" t="str" xml:space="preserve">
        <v xml:space="preserve">17:00_x000d_
TKP</v>
      </c>
      <c r="C1082" s="2" t="str">
        <v>ШВЕЦИЯ ШВЕЦИЯ</v>
      </c>
      <c r="D1082" s="2" t="str">
        <v>Боткирка-Сюрианска</v>
      </c>
      <c r="E1082" s="2" t="str">
        <v>-</v>
      </c>
      <c r="F1082" s="2" t="str">
        <v>-</v>
      </c>
      <c r="G1082" s="2" t="str">
        <v>-</v>
      </c>
    </row>
    <row r="1083" xml:space="preserve">
      <c r="A1083" s="2" t="str">
        <v>01/05 ВС</v>
      </c>
      <c r="B1083" s="2" t="str" xml:space="preserve">
        <v xml:space="preserve">19:00_x000d_
TKP</v>
      </c>
      <c r="C1083" s="2" t="str">
        <v>ШВЕЦИЯ ШВЕЦИЯ</v>
      </c>
      <c r="D1083" s="2" t="str">
        <v>Юнайтед Нордик-Вермболс</v>
      </c>
      <c r="E1083" s="2" t="str">
        <v>-</v>
      </c>
      <c r="F1083" s="2" t="str">
        <v>-</v>
      </c>
      <c r="G1083" s="2" t="str">
        <v>-</v>
      </c>
    </row>
    <row r="1084" xml:space="preserve">
      <c r="A1084" s="2" t="str">
        <v>01/05 ВС</v>
      </c>
      <c r="B1084" s="2" t="str" xml:space="preserve">
        <v xml:space="preserve">16:00_x000d_
TKP</v>
      </c>
      <c r="C1084" s="2" t="str">
        <v>ШВЕЦИЯ ШВЕЦИЯ</v>
      </c>
      <c r="D1084" s="2" t="str">
        <v>Карслундс-Греббестад</v>
      </c>
      <c r="E1084" s="2" t="str">
        <v>-</v>
      </c>
      <c r="F1084" s="2" t="str">
        <v>-</v>
      </c>
      <c r="G1084" s="2" t="str">
        <v>-</v>
      </c>
    </row>
    <row r="1085" xml:space="preserve">
      <c r="A1085" s="2" t="str">
        <v>01/05 ВС</v>
      </c>
      <c r="B1085" s="2" t="str" xml:space="preserve">
        <v xml:space="preserve">16:00_x000d_
TKP</v>
      </c>
      <c r="C1085" s="2" t="str">
        <v>ШВЕЦИЯ ШВЕЦИЯ</v>
      </c>
      <c r="D1085" s="2" t="str">
        <v>Кумла-Гаутиод</v>
      </c>
      <c r="E1085" s="2" t="str">
        <v>-</v>
      </c>
      <c r="F1085" s="2" t="str">
        <v>-</v>
      </c>
      <c r="G1085" s="2" t="str">
        <v>-</v>
      </c>
    </row>
    <row r="1086" xml:space="preserve">
      <c r="A1086" s="2" t="str">
        <v>01/05 ВС</v>
      </c>
      <c r="B1086" s="2" t="str" xml:space="preserve">
        <v xml:space="preserve">16:00_x000d_
TKP</v>
      </c>
      <c r="C1086" s="2" t="str">
        <v>ШВЕЦИЯ ШВЕЦИЯ</v>
      </c>
      <c r="D1086" s="2" t="str">
        <v>Стенунгсунд-Нордвэрмланд</v>
      </c>
      <c r="E1086" s="2" t="str">
        <v>-</v>
      </c>
      <c r="F1086" s="2" t="str">
        <v>-</v>
      </c>
      <c r="G1086" s="2" t="str">
        <v>-</v>
      </c>
    </row>
    <row r="1087">
      <c r="A1087" s="2" t="str">
        <v>01/05 ВС</v>
      </c>
      <c r="B1087" s="2" t="str">
        <v>15:00</v>
      </c>
      <c r="C1087" s="2" t="str">
        <v>ШВЕЦИЯ ШВЕЦИЯ</v>
      </c>
      <c r="D1087" s="2" t="str">
        <v>Умео (Ж)-АИК (Ж)</v>
      </c>
      <c r="E1087" s="2" t="str">
        <v>-</v>
      </c>
      <c r="F1087" s="2" t="str">
        <v>-</v>
      </c>
      <c r="G1087" s="2" t="str">
        <v>-</v>
      </c>
    </row>
    <row r="1088">
      <c r="A1088" s="2" t="str">
        <v>01/05 ВС</v>
      </c>
      <c r="B1088" s="2" t="str">
        <v>17:00</v>
      </c>
      <c r="C1088" s="2" t="str">
        <v>ШВЕЦИЯ ШВЕЦИЯ</v>
      </c>
      <c r="D1088" s="2" t="str">
        <v>Броммапойкарна (Ж)-Питео (Ж)</v>
      </c>
      <c r="E1088" s="2" t="str">
        <v>-</v>
      </c>
      <c r="F1088" s="2" t="str">
        <v>-</v>
      </c>
      <c r="G1088" s="2" t="str">
        <v>-</v>
      </c>
    </row>
    <row r="1089">
      <c r="A1089" s="2" t="str">
        <v>01/05 ВС</v>
      </c>
      <c r="B1089" s="2" t="str">
        <v>17:00</v>
      </c>
      <c r="C1089" s="2" t="str">
        <v>ШВЕЦИЯ ШВЕЦИЯ</v>
      </c>
      <c r="D1089" s="2" t="str">
        <v>Виттсье (Ж)-Хеккен (Ж)</v>
      </c>
      <c r="E1089" s="2" t="str">
        <v>-</v>
      </c>
      <c r="F1089" s="2" t="str">
        <v>-</v>
      </c>
      <c r="G1089" s="2" t="str">
        <v>-</v>
      </c>
    </row>
    <row r="1090">
      <c r="A1090" s="2" t="str">
        <v>01/05 ВС</v>
      </c>
      <c r="B1090" s="2" t="str">
        <v>17:00</v>
      </c>
      <c r="C1090" s="2" t="str">
        <v>ШВЕЦИЯ ШВЕЦИЯ</v>
      </c>
      <c r="D1090" s="2" t="str">
        <v>Эскильстуна Юнайтед (Ж)-Кальмар (Ж)</v>
      </c>
      <c r="E1090" s="2" t="str">
        <v>-</v>
      </c>
      <c r="F1090" s="2" t="str">
        <v>-</v>
      </c>
      <c r="G1090" s="2" t="str">
        <v>-</v>
      </c>
    </row>
    <row r="1091">
      <c r="A1091" s="2" t="str">
        <v>01/05 ВС</v>
      </c>
      <c r="B1091" s="2" t="str">
        <v>17:00</v>
      </c>
      <c r="C1091" s="2" t="str">
        <v>ШВЕЦИЯ ШВЕЦИЯ</v>
      </c>
      <c r="D1091" s="2" t="str">
        <v>Юргорден (Ж)-Кристианстадс (Ж)</v>
      </c>
      <c r="E1091" s="2" t="str">
        <v>-</v>
      </c>
      <c r="F1091" s="2" t="str">
        <v>-</v>
      </c>
      <c r="G1091" s="2" t="str">
        <v>-</v>
      </c>
    </row>
    <row r="1092">
      <c r="A1092" s="2" t="str">
        <v>01/05 ВС</v>
      </c>
      <c r="B1092" s="2" t="str">
        <v>17:00</v>
      </c>
      <c r="C1092" s="2" t="str">
        <v>ШВЕЦИЯ ШВЕЦИЯ</v>
      </c>
      <c r="D1092" s="2" t="str">
        <v>Ravasens IK (Ж)-Джетикс (Ж)</v>
      </c>
      <c r="E1092" s="2" t="str">
        <v>-</v>
      </c>
      <c r="F1092" s="2" t="str">
        <v>-</v>
      </c>
      <c r="G1092" s="2" t="str">
        <v>-</v>
      </c>
    </row>
    <row r="1093">
      <c r="A1093" s="2" t="str">
        <v>01/05 ВС</v>
      </c>
      <c r="B1093" s="2" t="str">
        <v>18:00</v>
      </c>
      <c r="C1093" s="2" t="str">
        <v>ШВЕЦИЯ ШВЕЦИЯ</v>
      </c>
      <c r="D1093" s="2" t="str">
        <v>Бромолла (Ж)-Норрчепинг (Ж)</v>
      </c>
      <c r="E1093" s="2" t="str">
        <v>-</v>
      </c>
      <c r="F1093" s="2" t="str">
        <v>-</v>
      </c>
      <c r="G1093" s="2" t="str">
        <v>-</v>
      </c>
    </row>
    <row r="1094">
      <c r="A1094" s="2" t="str">
        <v>01/05 ВС</v>
      </c>
      <c r="B1094" s="2" t="str">
        <v>18:30</v>
      </c>
      <c r="C1094" s="2" t="str">
        <v>ШВЕЦИЯ ШВЕЦИЯ</v>
      </c>
      <c r="D1094" s="2" t="str">
        <v>Gamla Upsala (Ж)-Мальбакенс (Ж)</v>
      </c>
      <c r="E1094" s="2" t="str">
        <v>-</v>
      </c>
      <c r="F1094" s="2" t="str">
        <v>-</v>
      </c>
      <c r="G1094" s="2" t="str">
        <v>-</v>
      </c>
    </row>
    <row r="1095">
      <c r="A1095" s="2" t="str">
        <v>01/05 ВС</v>
      </c>
      <c r="B1095" s="2" t="str">
        <v>15:00</v>
      </c>
      <c r="C1095" s="2" t="str">
        <v>ШОТЛАНДИЯ ШОТЛАНДИЯ</v>
      </c>
      <c r="D1095" s="2" t="str">
        <v>Селтик-Рейнджерс</v>
      </c>
      <c r="E1095" s="2" t="str">
        <v>1.83</v>
      </c>
      <c r="F1095" s="2" t="str">
        <v>3.60</v>
      </c>
      <c r="G1095" s="2" t="str">
        <v>4.33</v>
      </c>
    </row>
    <row r="1096">
      <c r="A1096" s="2" t="str">
        <v>01/05 ВС</v>
      </c>
      <c r="B1096" s="2" t="str">
        <v>19:00</v>
      </c>
      <c r="C1096" s="2" t="str">
        <v>ШОТЛАНДИЯ ШОТЛАНДИЯ</v>
      </c>
      <c r="D1096" s="2" t="str">
        <v>Мотеруэлл (Ж)-Рейнджерс (Ж)</v>
      </c>
      <c r="E1096" s="2" t="str">
        <v>-</v>
      </c>
      <c r="F1096" s="2" t="str">
        <v>-</v>
      </c>
      <c r="G1096" s="2" t="str">
        <v>-</v>
      </c>
    </row>
    <row r="1097">
      <c r="A1097" s="2" t="str">
        <v>01/05 ВС</v>
      </c>
      <c r="B1097" s="2" t="str">
        <v>19:00</v>
      </c>
      <c r="C1097" s="2" t="str">
        <v>ШОТЛАНДИЯ ШОТЛАНДИЯ</v>
      </c>
      <c r="D1097" s="2" t="str">
        <v>Хиберниан (Ж)-Гамильтон (Ж)</v>
      </c>
      <c r="E1097" s="2" t="str">
        <v>-</v>
      </c>
      <c r="F1097" s="2" t="str">
        <v>-</v>
      </c>
      <c r="G1097" s="2" t="str">
        <v>-</v>
      </c>
    </row>
    <row r="1098">
      <c r="A1098" s="2" t="str">
        <v>01/05 ВС</v>
      </c>
      <c r="B1098" s="2" t="str">
        <v>15:00</v>
      </c>
      <c r="C1098" s="2" t="str">
        <v>ШОТЛАНДИЯ ШОТЛАНДИЯ</v>
      </c>
      <c r="D1098" s="2" t="str">
        <v>Хартс (Ж)-Селтик (Ж)</v>
      </c>
      <c r="E1098" s="2" t="str">
        <v>-</v>
      </c>
      <c r="F1098" s="2" t="str">
        <v>-</v>
      </c>
      <c r="G1098" s="2" t="str">
        <v>-</v>
      </c>
    </row>
    <row r="1099">
      <c r="A1099" s="2" t="str">
        <v>01/05 ВС</v>
      </c>
      <c r="B1099" s="2" t="str">
        <v>19:30</v>
      </c>
      <c r="C1099" s="2" t="str">
        <v>ШОТЛАНДИЯ ШОТЛАНДИЯ</v>
      </c>
      <c r="D1099" s="2" t="str">
        <v>Партик (Ж)-Глазго Сити (Ж)</v>
      </c>
      <c r="E1099" s="2" t="str">
        <v>-</v>
      </c>
      <c r="F1099" s="2" t="str">
        <v>-</v>
      </c>
      <c r="G1099" s="2" t="str">
        <v>-</v>
      </c>
    </row>
    <row r="1100">
      <c r="A1100" s="2" t="str">
        <v>01/05 ВС</v>
      </c>
      <c r="B1100" s="2" t="str">
        <v>00:00</v>
      </c>
      <c r="C1100" s="2" t="str">
        <v>ЭКВАДОР ЭКВАДОР</v>
      </c>
      <c r="D1100" s="2" t="str">
        <v>Мушук Руна-Гуаякиль Сити</v>
      </c>
      <c r="E1100" s="2" t="str">
        <v>1.85</v>
      </c>
      <c r="F1100" s="2" t="str">
        <v>3.40</v>
      </c>
      <c r="G1100" s="2" t="str">
        <v>4.20</v>
      </c>
    </row>
    <row r="1101">
      <c r="A1101" s="2" t="str">
        <v>01/05 ВС</v>
      </c>
      <c r="B1101" s="2" t="str">
        <v>02:30</v>
      </c>
      <c r="C1101" s="2" t="str">
        <v>ЭКВАДОР ЭКВАДОР</v>
      </c>
      <c r="D1101" s="2" t="str">
        <v>9 Октября-Дельфин</v>
      </c>
      <c r="E1101" s="2" t="str">
        <v>2.50</v>
      </c>
      <c r="F1101" s="2" t="str">
        <v>3.40</v>
      </c>
      <c r="G1101" s="2" t="str">
        <v>2.87</v>
      </c>
    </row>
    <row r="1102">
      <c r="A1102" s="2" t="str">
        <v>01/05 ВС</v>
      </c>
      <c r="B1102" s="2" t="str">
        <v>05:00</v>
      </c>
      <c r="C1102" s="2" t="str">
        <v>ЭКВАДОР ЭКВАДОР</v>
      </c>
      <c r="D1102" s="2" t="str">
        <v>Текнико Ю.-Аукас</v>
      </c>
      <c r="E1102" s="2" t="str">
        <v>2.90</v>
      </c>
      <c r="F1102" s="2" t="str">
        <v>3.00</v>
      </c>
      <c r="G1102" s="2" t="str">
        <v>2.70</v>
      </c>
    </row>
    <row r="1103">
      <c r="A1103" s="2" t="str">
        <v>01/05 ВС</v>
      </c>
      <c r="B1103" s="2" t="str">
        <v>23:00</v>
      </c>
      <c r="C1103" s="2" t="str">
        <v>ЭКВАДОР ЭКВАДОР</v>
      </c>
      <c r="D1103" s="2" t="str">
        <v>Оренсе-Универсидад Католика Кито</v>
      </c>
      <c r="E1103" s="2" t="str">
        <v>2.80</v>
      </c>
      <c r="F1103" s="2" t="str">
        <v>3.20</v>
      </c>
      <c r="G1103" s="2" t="str">
        <v>2.70</v>
      </c>
    </row>
    <row r="1104">
      <c r="A1104" s="2" t="str">
        <v>01/05 ВС</v>
      </c>
      <c r="B1104" s="2" t="str">
        <v>15:30</v>
      </c>
      <c r="C1104" s="2" t="str">
        <v>ЭСТОНИЯ ЭСТОНИЯ</v>
      </c>
      <c r="D1104" s="2" t="str">
        <v>Пайде-Таллинна Калев</v>
      </c>
      <c r="E1104" s="2" t="str">
        <v>-</v>
      </c>
      <c r="F1104" s="2" t="str">
        <v>-</v>
      </c>
      <c r="G1104" s="2" t="str">
        <v>-</v>
      </c>
    </row>
    <row r="1105">
      <c r="A1105" s="2" t="str">
        <v>01/05 ВС</v>
      </c>
      <c r="B1105" s="2" t="str">
        <v>18:15</v>
      </c>
      <c r="C1105" s="2" t="str">
        <v>ЭСТОНИЯ ЭСТОНИЯ</v>
      </c>
      <c r="D1105" s="2" t="str">
        <v>Флора-Таммека</v>
      </c>
      <c r="E1105" s="2" t="str">
        <v>-</v>
      </c>
      <c r="F1105" s="2" t="str">
        <v>-</v>
      </c>
      <c r="G1105" s="2" t="str">
        <v>-</v>
      </c>
    </row>
    <row r="1106">
      <c r="A1106" s="2" t="str">
        <v>01/05 ВС</v>
      </c>
      <c r="B1106" s="2" t="str">
        <v>13:30</v>
      </c>
      <c r="C1106" s="2" t="str">
        <v>ЭСТОНИЯ ЭСТОНИЯ</v>
      </c>
      <c r="D1106" s="2" t="str">
        <v>Левадия U21-Пярну</v>
      </c>
      <c r="E1106" s="2" t="str">
        <v>-</v>
      </c>
      <c r="F1106" s="2" t="str">
        <v>-</v>
      </c>
      <c r="G1106" s="2" t="str">
        <v>-</v>
      </c>
    </row>
    <row r="1107">
      <c r="A1107" s="2" t="str">
        <v>01/05 ВС</v>
      </c>
      <c r="B1107" s="2" t="str">
        <v>13:30</v>
      </c>
      <c r="C1107" s="2" t="str">
        <v>ЭСТОНИЯ ЭСТОНИЯ</v>
      </c>
      <c r="D1107" s="2" t="str">
        <v>Нымме Юнайтед-Вильянди</v>
      </c>
      <c r="E1107" s="2" t="str">
        <v>-</v>
      </c>
      <c r="F1107" s="2" t="str">
        <v>-</v>
      </c>
      <c r="G1107" s="2" t="str">
        <v>-</v>
      </c>
    </row>
    <row r="1108">
      <c r="A1108" s="2" t="str">
        <v>01/05 ВС</v>
      </c>
      <c r="B1108" s="2" t="str">
        <v>13:00</v>
      </c>
      <c r="C1108" s="2" t="str">
        <v>ЭСТОНИЯ ЭСТОНИЯ</v>
      </c>
      <c r="D1108" s="2" t="str">
        <v>Саку (Ж)-Флора (Ж)</v>
      </c>
      <c r="E1108" s="2" t="str">
        <v>-</v>
      </c>
      <c r="F1108" s="2" t="str">
        <v>-</v>
      </c>
      <c r="G1108" s="2" t="str">
        <v>-</v>
      </c>
    </row>
    <row r="1109">
      <c r="A1109" s="2" t="str">
        <v>01/05 ВС</v>
      </c>
      <c r="B1109" s="2" t="str">
        <v>16:00</v>
      </c>
      <c r="C1109" s="2" t="str">
        <v>ЭФИОПИЯ ЭФИОПИЯ</v>
      </c>
      <c r="D1109" s="2" t="str">
        <v>Арба Минч Кенема-Уолките Кенема</v>
      </c>
      <c r="E1109" s="2" t="str">
        <v>-</v>
      </c>
      <c r="F1109" s="2" t="str">
        <v>-</v>
      </c>
      <c r="G1109" s="2" t="str">
        <v>-</v>
      </c>
    </row>
    <row r="1110">
      <c r="A1110" s="2" t="str">
        <v>01/05 ВС</v>
      </c>
      <c r="B1110" s="2" t="str">
        <v>19:00</v>
      </c>
      <c r="C1110" s="2" t="str">
        <v>ЭФИОПИЯ ЭФИОПИЯ</v>
      </c>
      <c r="D1110" s="2" t="str">
        <v>Дире Дава-Себета Сити</v>
      </c>
      <c r="E1110" s="2" t="str">
        <v>-</v>
      </c>
      <c r="F1110" s="2" t="str">
        <v>-</v>
      </c>
      <c r="G1110" s="2" t="str">
        <v>-</v>
      </c>
    </row>
    <row r="1111">
      <c r="A1111" s="2" t="str">
        <v>01/05 ВС</v>
      </c>
      <c r="B1111" s="2" t="str">
        <v>17:00</v>
      </c>
      <c r="C1111" s="2" t="str">
        <v>ЮЖНАЯ АФРИКА ЮЖНАЯ АФРИКА</v>
      </c>
      <c r="D1111" s="2" t="str">
        <v>Блэк Леопардс-Кейптаун Сперс</v>
      </c>
      <c r="E1111" s="2" t="str">
        <v>-</v>
      </c>
      <c r="F1111" s="2" t="str">
        <v>-</v>
      </c>
      <c r="G1111" s="2" t="str">
        <v>-</v>
      </c>
    </row>
    <row r="1112">
      <c r="A1112" s="2" t="str">
        <v>01/05 ВС</v>
      </c>
      <c r="B1112" s="2" t="str">
        <v>17:00</v>
      </c>
      <c r="C1112" s="2" t="str">
        <v>ЮЖНАЯ АФРИКА ЮЖНАЯ АФРИКА</v>
      </c>
      <c r="D1112" s="2" t="str">
        <v>Хангри Лайонс-ДжДР Старз</v>
      </c>
      <c r="E1112" s="2" t="str">
        <v>-</v>
      </c>
      <c r="F1112" s="2" t="str">
        <v>-</v>
      </c>
      <c r="G1112" s="2" t="str">
        <v>-</v>
      </c>
    </row>
    <row r="1113">
      <c r="A1113" s="2" t="str">
        <v>01/05 ВС</v>
      </c>
      <c r="B1113" s="2" t="str">
        <v>12:00</v>
      </c>
      <c r="C1113" s="2" t="str">
        <v>ЮЖНАЯ АФРИКА ЮЖНАЯ АФРИКА</v>
      </c>
      <c r="D1113" s="2" t="str">
        <v>Роял АМ U23-Марумо Галлантс U23</v>
      </c>
      <c r="E1113" s="2" t="str">
        <v>-</v>
      </c>
      <c r="F1113" s="2" t="str">
        <v>-</v>
      </c>
      <c r="G1113" s="2" t="str">
        <v>-</v>
      </c>
    </row>
    <row r="1114">
      <c r="A1114" s="2" t="str">
        <v>01/05 ВС</v>
      </c>
      <c r="B1114" s="2" t="str">
        <v>12:00</v>
      </c>
      <c r="C1114" s="2" t="str">
        <v>ЮЖНАЯ АФРИКА ЮЖНАЯ АФРИКА</v>
      </c>
      <c r="D1114" s="2" t="str">
        <v>Сваллоус U23-Кейптаун Сити U23</v>
      </c>
      <c r="E1114" s="2" t="str">
        <v>-</v>
      </c>
      <c r="F1114" s="2" t="str">
        <v>-</v>
      </c>
      <c r="G1114" s="2" t="str">
        <v>-</v>
      </c>
    </row>
    <row r="1115">
      <c r="A1115" s="2" t="str">
        <v>01/05 ВС</v>
      </c>
      <c r="B1115" s="2" t="str">
        <v>14:00</v>
      </c>
      <c r="C1115" s="2" t="str">
        <v>ЮЖНАЯ АФРИКА ЮЖНАЯ АФРИКА</v>
      </c>
      <c r="D1115" s="2" t="str">
        <v>Голден Арроус U23-Сехухуне U23</v>
      </c>
      <c r="E1115" s="2" t="str">
        <v>-</v>
      </c>
      <c r="F1115" s="2" t="str">
        <v>-</v>
      </c>
      <c r="G1115" s="2" t="str">
        <v>-</v>
      </c>
    </row>
    <row r="1116">
      <c r="A1116" s="2" t="str">
        <v>01/05 ВС</v>
      </c>
      <c r="B1116" s="2" t="str">
        <v>09:00</v>
      </c>
      <c r="C1116" s="2" t="str">
        <v>ЮЖНАЯ КОРЕЯ ЮЖНАЯ КОРЕЯ</v>
      </c>
      <c r="D1116" s="2" t="str">
        <v>Сихуэнь Ситизен-Пхаджу Ситизен</v>
      </c>
      <c r="E1116" s="2" t="str">
        <v>-</v>
      </c>
      <c r="F1116" s="2" t="str">
        <v>-</v>
      </c>
      <c r="G1116" s="2" t="str">
        <v>-</v>
      </c>
    </row>
    <row r="1117">
      <c r="A1117" s="2" t="str">
        <v>01/05 ВС</v>
      </c>
      <c r="B1117" s="2" t="str">
        <v>10:00</v>
      </c>
      <c r="C1117" s="2" t="str">
        <v>ЮЖНАЯ КОРЕЯ ЮЖНАЯ КОРЕЯ</v>
      </c>
      <c r="D1117" s="2" t="str">
        <v>Бусан Киотонг-Чхонан Сити</v>
      </c>
      <c r="E1117" s="2" t="str">
        <v>-</v>
      </c>
      <c r="F1117" s="2" t="str">
        <v>-</v>
      </c>
      <c r="G1117" s="2" t="str">
        <v>-</v>
      </c>
    </row>
    <row r="1118">
      <c r="A1118" s="2" t="str">
        <v>01/05 ВС</v>
      </c>
      <c r="B1118" s="2" t="str">
        <v>10:00</v>
      </c>
      <c r="C1118" s="2" t="str">
        <v>ЮЖНАЯ КОРЕЯ ЮЖНАЯ КОРЕЯ</v>
      </c>
      <c r="D1118" s="2" t="str">
        <v>Кёнджу-Каннын</v>
      </c>
      <c r="E1118" s="2" t="str">
        <v>-</v>
      </c>
      <c r="F1118" s="2" t="str">
        <v>-</v>
      </c>
      <c r="G1118" s="2" t="str">
        <v>-</v>
      </c>
    </row>
    <row r="1119">
      <c r="A1119" s="2" t="str">
        <v>01/05 ВС</v>
      </c>
      <c r="B1119" s="2" t="str">
        <v>10:00</v>
      </c>
      <c r="C1119" s="2" t="str">
        <v>ЮЖНАЯ КОРЕЯ ЮЖНАЯ КОРЕЯ</v>
      </c>
      <c r="D1119" s="2" t="str">
        <v>Танджин Ситизен-Чханвон</v>
      </c>
      <c r="E1119" s="2" t="str">
        <v>-</v>
      </c>
      <c r="F1119" s="2" t="str">
        <v>-</v>
      </c>
      <c r="G1119" s="2" t="str">
        <v>-</v>
      </c>
    </row>
    <row r="1120">
      <c r="A1120" s="2" t="str">
        <v>01/05 ВС</v>
      </c>
      <c r="B1120" s="2" t="str">
        <v>10:00</v>
      </c>
      <c r="C1120" s="2" t="str">
        <v>ЮЖНАЯ КОРЕЯ ЮЖНАЯ КОРЕЯ</v>
      </c>
      <c r="D1120" s="2" t="str">
        <v>Тэджон Корэйл-Мокпо</v>
      </c>
      <c r="E1120" s="2" t="str">
        <v>-</v>
      </c>
      <c r="F1120" s="2" t="str">
        <v>-</v>
      </c>
      <c r="G1120" s="2" t="str">
        <v>-</v>
      </c>
    </row>
    <row r="1121">
      <c r="A1121" s="2" t="str">
        <v>01/05 ВС</v>
      </c>
      <c r="B1121" s="2" t="str">
        <v>10:00</v>
      </c>
      <c r="C1121" s="2" t="str">
        <v>ЮЖНАЯ КОРЕЯ ЮЖНАЯ КОРЕЯ</v>
      </c>
      <c r="D1121" s="2" t="str">
        <v>Хвасон-Ульсан Ситизен</v>
      </c>
      <c r="E1121" s="2" t="str">
        <v>-</v>
      </c>
      <c r="F1121" s="2" t="str">
        <v>-</v>
      </c>
      <c r="G1121" s="2" t="str">
        <v>-</v>
      </c>
    </row>
    <row r="1122">
      <c r="A1122" s="2" t="str">
        <v>01/05 ВС</v>
      </c>
      <c r="B1122" s="2" t="str">
        <v>21:45</v>
      </c>
      <c r="C1122" s="2" t="str">
        <v>ЯМАЙКА ЯМАЙКА</v>
      </c>
      <c r="D1122" s="2" t="str">
        <v>Тиволи-Монтего Бэй</v>
      </c>
      <c r="E1122" s="2" t="str">
        <v>-</v>
      </c>
      <c r="F1122" s="2" t="str">
        <v>-</v>
      </c>
      <c r="G1122" s="2" t="str">
        <v>-</v>
      </c>
    </row>
    <row r="1123">
      <c r="A1123" s="2" t="str">
        <v>01/05 ВС</v>
      </c>
      <c r="B1123" s="2" t="str">
        <v>08:00</v>
      </c>
      <c r="C1123" s="2" t="str">
        <v>ЯПОНИЯ ЯПОНИЯ</v>
      </c>
      <c r="D1123" s="2" t="str">
        <v>Грулла Мориока-Кумамото</v>
      </c>
      <c r="E1123" s="2" t="str">
        <v>3.10</v>
      </c>
      <c r="F1123" s="2" t="str">
        <v>3.00</v>
      </c>
      <c r="G1123" s="2" t="str">
        <v>2.45</v>
      </c>
    </row>
    <row r="1124">
      <c r="A1124" s="2" t="str">
        <v>01/05 ВС</v>
      </c>
      <c r="B1124" s="2" t="str">
        <v>08:00</v>
      </c>
      <c r="C1124" s="2" t="str">
        <v>ЯПОНИЯ ЯПОНИЯ</v>
      </c>
      <c r="D1124" s="2" t="str">
        <v>Окаяма-Токио Верди</v>
      </c>
      <c r="E1124" s="2" t="str">
        <v>2.30</v>
      </c>
      <c r="F1124" s="2" t="str">
        <v>3.10</v>
      </c>
      <c r="G1124" s="2" t="str">
        <v>3.40</v>
      </c>
    </row>
    <row r="1125">
      <c r="A1125" s="2" t="str">
        <v>01/05 ВС</v>
      </c>
      <c r="B1125" s="2" t="str">
        <v>09:00</v>
      </c>
      <c r="C1125" s="2" t="str">
        <v>ЯПОНИЯ ЯПОНИЯ</v>
      </c>
      <c r="D1125" s="2" t="str">
        <v>Каназава-Омия</v>
      </c>
      <c r="E1125" s="2" t="str">
        <v>1.85</v>
      </c>
      <c r="F1125" s="2" t="str">
        <v>3.40</v>
      </c>
      <c r="G1125" s="2" t="str">
        <v>4.50</v>
      </c>
    </row>
    <row r="1126">
      <c r="A1126" s="2" t="str">
        <v>01/05 ВС</v>
      </c>
      <c r="B1126" s="2" t="str">
        <v>09:00</v>
      </c>
      <c r="C1126" s="2" t="str">
        <v>ЯПОНИЯ ЯПОНИЯ</v>
      </c>
      <c r="D1126" s="2" t="str">
        <v>Кусацу-Йокогама ФК</v>
      </c>
      <c r="E1126" s="2" t="str">
        <v>4.75</v>
      </c>
      <c r="F1126" s="2" t="str">
        <v>3.10</v>
      </c>
      <c r="G1126" s="2" t="str">
        <v>1.90</v>
      </c>
    </row>
    <row r="1127">
      <c r="A1127" s="2" t="str">
        <v>01/05 ВС</v>
      </c>
      <c r="B1127" s="2" t="str">
        <v>09:00</v>
      </c>
      <c r="C1127" s="2" t="str">
        <v>ЯПОНИЯ ЯПОНИЯ</v>
      </c>
      <c r="D1127" s="2" t="str">
        <v>Матида Зельвия-Токусима</v>
      </c>
      <c r="E1127" s="2" t="str">
        <v>2.30</v>
      </c>
      <c r="F1127" s="2" t="str">
        <v>2.80</v>
      </c>
      <c r="G1127" s="2" t="str">
        <v>3.75</v>
      </c>
    </row>
    <row r="1128">
      <c r="A1128" s="2" t="str">
        <v>01/05 ВС</v>
      </c>
      <c r="B1128" s="2" t="str">
        <v>09:00</v>
      </c>
      <c r="C1128" s="2" t="str">
        <v>ЯПОНИЯ ЯПОНИЯ</v>
      </c>
      <c r="D1128" s="2" t="str">
        <v>Ямагата-В-Варен Нагасаки</v>
      </c>
      <c r="E1128" s="2" t="str">
        <v>2.50</v>
      </c>
      <c r="F1128" s="2" t="str">
        <v>3.10</v>
      </c>
      <c r="G1128" s="2" t="str">
        <v>3.00</v>
      </c>
    </row>
    <row r="1129">
      <c r="A1129" s="2" t="str">
        <v>01/05 ВС</v>
      </c>
      <c r="B1129" s="2" t="str">
        <v>11:00</v>
      </c>
      <c r="C1129" s="2" t="str">
        <v>ЯПОНИЯ ЯПОНИЯ</v>
      </c>
      <c r="D1129" s="2" t="str">
        <v>Вегальта Сендай-Блаублитц</v>
      </c>
      <c r="E1129" s="2" t="str">
        <v>1.90</v>
      </c>
      <c r="F1129" s="2" t="str">
        <v>3.20</v>
      </c>
      <c r="G1129" s="2" t="str">
        <v>4.75</v>
      </c>
    </row>
    <row r="1130">
      <c r="A1130" s="2" t="str">
        <v>01/05 ВС</v>
      </c>
      <c r="B1130" s="2" t="str">
        <v>09:00</v>
      </c>
      <c r="C1130" s="2" t="str">
        <v>ЯПОНИЯ ЯПОНИЯ</v>
      </c>
      <c r="D1130" s="2" t="str">
        <v>Сайтама (Ж)-Нодзима Стелла (Ж)</v>
      </c>
      <c r="E1130" s="2" t="str">
        <v>-</v>
      </c>
      <c r="F1130" s="2" t="str">
        <v>-</v>
      </c>
      <c r="G1130" s="2" t="str">
        <v>-</v>
      </c>
    </row>
    <row r="1131">
      <c r="A1131" s="2" t="str">
        <v>01/05 ВС</v>
      </c>
      <c r="B1131" s="2" t="str">
        <v>08:00</v>
      </c>
      <c r="C1131" s="2" t="str">
        <v>ЯПОНИЯ ЯПОНИЯ</v>
      </c>
      <c r="D1131" s="2" t="str">
        <v>Анжевиолет Хиросима (Ж)-Такацуки (Ж)</v>
      </c>
      <c r="E1131" s="2" t="str">
        <v>-</v>
      </c>
      <c r="F1131" s="2" t="str">
        <v>-</v>
      </c>
      <c r="G1131" s="2" t="str">
        <v>-</v>
      </c>
    </row>
    <row r="1132">
      <c r="A1132" s="2" t="str">
        <v>01/05 ВС</v>
      </c>
      <c r="B1132" s="2" t="str">
        <v>08:00</v>
      </c>
      <c r="C1132" s="2" t="str">
        <v>ЯПОНИЯ ЯПОНИЯ</v>
      </c>
      <c r="D1132" s="2" t="str">
        <v>Ганма (Ж)-Харима Альбион (Ж)</v>
      </c>
      <c r="E1132" s="2" t="str">
        <v>-</v>
      </c>
      <c r="F1132" s="2" t="str">
        <v>-</v>
      </c>
      <c r="G1132" s="2" t="str">
        <v>-</v>
      </c>
    </row>
    <row r="1133">
      <c r="A1133" s="2" t="str">
        <v>01/05 ВС</v>
      </c>
      <c r="B1133" s="2" t="str">
        <v>08:00</v>
      </c>
      <c r="C1133" s="2" t="str">
        <v>ЯПОНИЯ ЯПОНИЯ</v>
      </c>
      <c r="D1133" s="2" t="str">
        <v>Орка (Ж)-НГУ Нагоя (Ж)</v>
      </c>
      <c r="E1133" s="2" t="str">
        <v>-</v>
      </c>
      <c r="F1133" s="2" t="str">
        <v>-</v>
      </c>
      <c r="G1133" s="2" t="str">
        <v>-</v>
      </c>
    </row>
    <row r="1134">
      <c r="A1134" s="2" t="str">
        <v>01/05 ВС</v>
      </c>
      <c r="B1134" s="2" t="str">
        <v>08:00</v>
      </c>
      <c r="C1134" s="2" t="str">
        <v>ЯПОНИЯ ЯПОНИЯ</v>
      </c>
      <c r="D1134" s="2" t="str">
        <v>Эхимэ (Ж)-Йокогама (Ж)</v>
      </c>
      <c r="E1134" s="2" t="str">
        <v>-</v>
      </c>
      <c r="F1134" s="2" t="str">
        <v>-</v>
      </c>
      <c r="G1134" s="2" t="str">
        <v>-</v>
      </c>
    </row>
    <row r="1135">
      <c r="A1135" s="2" t="str">
        <v>01/05 ВС</v>
      </c>
      <c r="B1135" s="2" t="str">
        <v>09:00</v>
      </c>
      <c r="C1135" s="2" t="str">
        <v>ЯПОНИЯ ЯПОНИЯ</v>
      </c>
      <c r="D1135" s="2" t="str">
        <v>Сэтагая (Ж)-Ниттаидаи (Ж)</v>
      </c>
      <c r="E1135" s="2" t="str">
        <v>-</v>
      </c>
      <c r="F1135" s="2" t="str">
        <v>-</v>
      </c>
      <c r="G1135" s="2" t="str">
        <v>-</v>
      </c>
    </row>
    <row r="1136">
      <c r="A1136" s="2" t="str">
        <v>02/05 ПН</v>
      </c>
      <c r="B1136" s="2" t="str">
        <v>23:00</v>
      </c>
      <c r="C1136" s="2" t="str">
        <v>АНГЛИЯ АНГЛИЯ</v>
      </c>
      <c r="D1136" s="2" t="str">
        <v>Манчестер Юнайтед-Брентфорд</v>
      </c>
      <c r="E1136" s="2" t="str">
        <v>1.70</v>
      </c>
      <c r="F1136" s="2" t="str">
        <v>4.00</v>
      </c>
      <c r="G1136" s="2" t="str">
        <v>4.50</v>
      </c>
    </row>
    <row r="1137">
      <c r="A1137" s="2" t="str">
        <v>02/05 ПН</v>
      </c>
      <c r="B1137" s="2" t="str">
        <v>22:30</v>
      </c>
      <c r="C1137" s="2" t="str">
        <v>ГЕРМАНИЯ ГЕРМАНИЯ</v>
      </c>
      <c r="D1137" s="2" t="str">
        <v>Байер-Айнтрахт Ф</v>
      </c>
      <c r="E1137" s="2" t="str">
        <v>1.40</v>
      </c>
      <c r="F1137" s="2" t="str">
        <v>5.00</v>
      </c>
      <c r="G1137" s="2" t="str">
        <v>7.00</v>
      </c>
    </row>
    <row r="1138">
      <c r="A1138" s="2" t="str">
        <v>02/05 ПН</v>
      </c>
      <c r="B1138" s="2" t="str">
        <v>22:30</v>
      </c>
      <c r="C1138" s="2" t="str">
        <v>ГЕРМАНИЯ ГЕРМАНИЯ</v>
      </c>
      <c r="D1138" s="2" t="str">
        <v>Боруссия М-РБ Лейпциг</v>
      </c>
      <c r="E1138" s="2" t="str">
        <v>4.50</v>
      </c>
      <c r="F1138" s="2" t="str">
        <v>4.00</v>
      </c>
      <c r="G1138" s="2" t="str">
        <v>1.70</v>
      </c>
    </row>
    <row r="1139">
      <c r="A1139" s="2" t="str">
        <v>02/05 ПН</v>
      </c>
      <c r="B1139" s="2" t="str">
        <v>23:00</v>
      </c>
      <c r="C1139" s="2" t="str">
        <v>ИСПАНИЯ ИСПАНИЯ</v>
      </c>
      <c r="D1139" s="2" t="str">
        <v>Хетафе-Бетис</v>
      </c>
      <c r="E1139" s="2" t="str">
        <v>2.80</v>
      </c>
      <c r="F1139" s="2" t="str">
        <v>3.10</v>
      </c>
      <c r="G1139" s="2" t="str">
        <v>2.62</v>
      </c>
    </row>
    <row r="1140">
      <c r="A1140" s="2" t="str">
        <v>02/05 ПН</v>
      </c>
      <c r="B1140" s="2" t="str">
        <v>22:45</v>
      </c>
      <c r="C1140" s="2" t="str">
        <v>ИТАЛИЯ ИТАЛИЯ</v>
      </c>
      <c r="D1140" s="2" t="str">
        <v>Аталанта-Салернитана</v>
      </c>
      <c r="E1140" s="2" t="str">
        <v>1.28</v>
      </c>
      <c r="F1140" s="2" t="str">
        <v>6.00</v>
      </c>
      <c r="G1140" s="2" t="str">
        <v>8.50</v>
      </c>
    </row>
    <row r="1141">
      <c r="A1141" s="2" t="str">
        <v>02/05 ПН</v>
      </c>
      <c r="B1141" s="2" t="str">
        <v>20:00</v>
      </c>
      <c r="C1141" s="2" t="str">
        <v>РОССИЯ РОССИЯ</v>
      </c>
      <c r="D1141" s="2" t="str">
        <v>Арсенал Тула-Нижний Новгород</v>
      </c>
      <c r="E1141" s="2" t="str">
        <v>-</v>
      </c>
      <c r="F1141" s="2" t="str">
        <v>-</v>
      </c>
      <c r="G1141" s="2" t="str">
        <v>-</v>
      </c>
    </row>
    <row r="1142">
      <c r="A1142" s="2" t="str">
        <v>02/05 ПН</v>
      </c>
      <c r="B1142" s="2" t="str">
        <v>15:30</v>
      </c>
      <c r="C1142" s="2" t="str">
        <v>АЗЕРБАЙДЖАН АЗЕРБАЙДЖАН</v>
      </c>
      <c r="D1142" s="2" t="str">
        <v>Кяпаз-МОИК</v>
      </c>
      <c r="E1142" s="2" t="str">
        <v>-</v>
      </c>
      <c r="F1142" s="2" t="str">
        <v>-</v>
      </c>
      <c r="G1142" s="2" t="str">
        <v>-</v>
      </c>
    </row>
    <row r="1143">
      <c r="A1143" s="2" t="str">
        <v>02/05 ПН</v>
      </c>
      <c r="B1143" s="2" t="str">
        <v>16:00</v>
      </c>
      <c r="C1143" s="2" t="str">
        <v>АЗЕРБАЙДЖАН АЗЕРБАЙДЖАН</v>
      </c>
      <c r="D1143" s="2" t="str">
        <v>Карабах 2-Сабах Баку 2</v>
      </c>
      <c r="E1143" s="2" t="str">
        <v>-</v>
      </c>
      <c r="F1143" s="2" t="str">
        <v>-</v>
      </c>
      <c r="G1143" s="2" t="str">
        <v>-</v>
      </c>
    </row>
    <row r="1144">
      <c r="A1144" s="2" t="str">
        <v>02/05 ПН</v>
      </c>
      <c r="B1144" s="2" t="str">
        <v>16:00</v>
      </c>
      <c r="C1144" s="2" t="str">
        <v>АЗЕРБАЙДЖАН АЗЕРБАЙДЖАН</v>
      </c>
      <c r="D1144" s="2" t="str">
        <v>Локбатан-Габала 2</v>
      </c>
      <c r="E1144" s="2" t="str">
        <v>-</v>
      </c>
      <c r="F1144" s="2" t="str">
        <v>-</v>
      </c>
      <c r="G1144" s="2" t="str">
        <v>-</v>
      </c>
    </row>
    <row r="1145">
      <c r="A1145" s="2" t="str">
        <v>02/05 ПН</v>
      </c>
      <c r="B1145" s="2" t="str">
        <v>20:15</v>
      </c>
      <c r="C1145" s="2" t="str">
        <v>АНГЛИЯ АНГЛИЯ</v>
      </c>
      <c r="D1145" s="2" t="str">
        <v>Фулхэм-Лутон Таун</v>
      </c>
      <c r="E1145" s="2" t="str">
        <v>1.50</v>
      </c>
      <c r="F1145" s="2" t="str">
        <v>4.20</v>
      </c>
      <c r="G1145" s="2" t="str">
        <v>6.50</v>
      </c>
    </row>
    <row r="1146">
      <c r="A1146" s="2" t="str">
        <v>02/05 ПН</v>
      </c>
      <c r="B1146" s="2" t="str">
        <v>15:30</v>
      </c>
      <c r="C1146" s="2" t="str">
        <v>АНГЛИЯ АНГЛИЯ</v>
      </c>
      <c r="D1146" s="2" t="str">
        <v>Солфорд-Мансфилд Таун</v>
      </c>
      <c r="E1146" s="2" t="str">
        <v>2.40</v>
      </c>
      <c r="F1146" s="2" t="str">
        <v>3.40</v>
      </c>
      <c r="G1146" s="2" t="str">
        <v>2.90</v>
      </c>
    </row>
    <row r="1147">
      <c r="A1147" s="2" t="str">
        <v>02/05 ПН</v>
      </c>
      <c r="B1147" s="2" t="str">
        <v>18:00</v>
      </c>
      <c r="C1147" s="2" t="str">
        <v>АНГЛИЯ АНГЛИЯ</v>
      </c>
      <c r="D1147" s="2" t="str">
        <v>Порт Вэйл-Ньюпорт</v>
      </c>
      <c r="E1147" s="2" t="str">
        <v>1.90</v>
      </c>
      <c r="F1147" s="2" t="str">
        <v>3.50</v>
      </c>
      <c r="G1147" s="2" t="str">
        <v>4.20</v>
      </c>
    </row>
    <row r="1148">
      <c r="A1148" s="2" t="str">
        <v>02/05 ПН</v>
      </c>
      <c r="B1148" s="2" t="str">
        <v>18:00</v>
      </c>
      <c r="C1148" s="2" t="str">
        <v>АНГЛИЯ АНГЛИЯ</v>
      </c>
      <c r="D1148" s="2" t="str">
        <v>Алтринчем-Барнет</v>
      </c>
      <c r="E1148" s="2" t="str">
        <v>-</v>
      </c>
      <c r="F1148" s="2" t="str">
        <v>-</v>
      </c>
      <c r="G1148" s="2" t="str">
        <v>-</v>
      </c>
    </row>
    <row r="1149">
      <c r="A1149" s="2" t="str">
        <v>02/05 ПН</v>
      </c>
      <c r="B1149" s="2" t="str">
        <v>18:00</v>
      </c>
      <c r="C1149" s="2" t="str">
        <v>АНГЛИЯ АНГЛИЯ</v>
      </c>
      <c r="D1149" s="2" t="str">
        <v>Борхэм Вуд-Рексхем</v>
      </c>
      <c r="E1149" s="2" t="str">
        <v>-</v>
      </c>
      <c r="F1149" s="2" t="str">
        <v>-</v>
      </c>
      <c r="G1149" s="2" t="str">
        <v>-</v>
      </c>
    </row>
    <row r="1150">
      <c r="A1150" s="2" t="str">
        <v>02/05 ПН</v>
      </c>
      <c r="B1150" s="2" t="str">
        <v>18:00</v>
      </c>
      <c r="C1150" s="2" t="str">
        <v>АНГЛИЯ АНГЛИЯ</v>
      </c>
      <c r="D1150" s="2" t="str">
        <v>Дагенхэм энд Редбридж-Торки Юнайтед</v>
      </c>
      <c r="E1150" s="2" t="str">
        <v>-</v>
      </c>
      <c r="F1150" s="2" t="str">
        <v>-</v>
      </c>
      <c r="G1150" s="2" t="str">
        <v>-</v>
      </c>
    </row>
    <row r="1151">
      <c r="A1151" s="2" t="str">
        <v>02/05 ПН</v>
      </c>
      <c r="B1151" s="2" t="str">
        <v>18:00</v>
      </c>
      <c r="C1151" s="2" t="str">
        <v>АНГЛИЯ АНГЛИЯ</v>
      </c>
      <c r="D1151" s="2" t="str">
        <v>Истли-Галифакс Таун</v>
      </c>
      <c r="E1151" s="2" t="str">
        <v>-</v>
      </c>
      <c r="F1151" s="2" t="str">
        <v>-</v>
      </c>
      <c r="G1151" s="2" t="str">
        <v>-</v>
      </c>
    </row>
    <row r="1152">
      <c r="A1152" s="2" t="str">
        <v>02/05 ПН</v>
      </c>
      <c r="B1152" s="2" t="str">
        <v>18:00</v>
      </c>
      <c r="C1152" s="2" t="str">
        <v>АНГЛИЯ АНГЛИЯ</v>
      </c>
      <c r="D1152" s="2" t="str">
        <v>Йовил-Уэлдстоун</v>
      </c>
      <c r="E1152" s="2" t="str">
        <v>-</v>
      </c>
      <c r="F1152" s="2" t="str">
        <v>-</v>
      </c>
      <c r="G1152" s="2" t="str">
        <v>-</v>
      </c>
    </row>
    <row r="1153">
      <c r="A1153" s="2" t="str">
        <v>02/05 ПН</v>
      </c>
      <c r="B1153" s="2" t="str">
        <v>18:00</v>
      </c>
      <c r="C1153" s="2" t="str">
        <v>АНГЛИЯ АНГЛИЯ</v>
      </c>
      <c r="D1153" s="2" t="str">
        <v>Мэйденхед-Алдершот Таун</v>
      </c>
      <c r="E1153" s="2" t="str">
        <v>-</v>
      </c>
      <c r="F1153" s="2" t="str">
        <v>-</v>
      </c>
      <c r="G1153" s="2" t="str">
        <v>-</v>
      </c>
    </row>
    <row r="1154">
      <c r="A1154" s="2" t="str">
        <v>02/05 ПН</v>
      </c>
      <c r="B1154" s="2" t="str">
        <v>18:00</v>
      </c>
      <c r="C1154" s="2" t="str">
        <v>АНГЛИЯ АНГЛИЯ</v>
      </c>
      <c r="D1154" s="2" t="str">
        <v>Ноттс Каунти-Довер</v>
      </c>
      <c r="E1154" s="2" t="str">
        <v>-</v>
      </c>
      <c r="F1154" s="2" t="str">
        <v>-</v>
      </c>
      <c r="G1154" s="2" t="str">
        <v>-</v>
      </c>
    </row>
    <row r="1155">
      <c r="A1155" s="2" t="str">
        <v>02/05 ПН</v>
      </c>
      <c r="B1155" s="2" t="str">
        <v>18:00</v>
      </c>
      <c r="C1155" s="2" t="str">
        <v>АНГЛИЯ АНГЛИЯ</v>
      </c>
      <c r="D1155" s="2" t="str">
        <v>Саутенд Юнайтед-Веймут</v>
      </c>
      <c r="E1155" s="2" t="str">
        <v>-</v>
      </c>
      <c r="F1155" s="2" t="str">
        <v>-</v>
      </c>
      <c r="G1155" s="2" t="str">
        <v>-</v>
      </c>
    </row>
    <row r="1156">
      <c r="A1156" s="2" t="str">
        <v>02/05 ПН</v>
      </c>
      <c r="B1156" s="2" t="str">
        <v>18:00</v>
      </c>
      <c r="C1156" s="2" t="str">
        <v>АНГЛИЯ АНГЛИЯ</v>
      </c>
      <c r="D1156" s="2" t="str">
        <v>Солихалл-Бромли</v>
      </c>
      <c r="E1156" s="2" t="str">
        <v>-</v>
      </c>
      <c r="F1156" s="2" t="str">
        <v>-</v>
      </c>
      <c r="G1156" s="2" t="str">
        <v>-</v>
      </c>
    </row>
    <row r="1157">
      <c r="A1157" s="2" t="str">
        <v>02/05 ПН</v>
      </c>
      <c r="B1157" s="2" t="str">
        <v>18:00</v>
      </c>
      <c r="C1157" s="2" t="str">
        <v>АНГЛИЯ АНГЛИЯ</v>
      </c>
      <c r="D1157" s="2" t="str">
        <v>Уокинг-Кингс Линн</v>
      </c>
      <c r="E1157" s="2" t="str">
        <v>-</v>
      </c>
      <c r="F1157" s="2" t="str">
        <v>-</v>
      </c>
      <c r="G1157" s="2" t="str">
        <v>-</v>
      </c>
    </row>
    <row r="1158">
      <c r="A1158" s="2" t="str">
        <v>02/05 ПН</v>
      </c>
      <c r="B1158" s="2" t="str">
        <v>18:00</v>
      </c>
      <c r="C1158" s="2" t="str">
        <v>АНГЛИЯ АНГЛИЯ</v>
      </c>
      <c r="D1158" s="2" t="str">
        <v>Честерфилд-Стокпорт Каунти</v>
      </c>
      <c r="E1158" s="2" t="str">
        <v>-</v>
      </c>
      <c r="F1158" s="2" t="str">
        <v>-</v>
      </c>
      <c r="G1158" s="2" t="str">
        <v>-</v>
      </c>
    </row>
    <row r="1159">
      <c r="A1159" s="2" t="str">
        <v>02/05 ПН</v>
      </c>
      <c r="B1159" s="2" t="str">
        <v>18:00</v>
      </c>
      <c r="C1159" s="2" t="str">
        <v>АНГЛИЯ АНГЛИЯ</v>
      </c>
      <c r="D1159" s="2" t="str">
        <v>Блит-Курзон Аштон</v>
      </c>
      <c r="E1159" s="2" t="str">
        <v>-</v>
      </c>
      <c r="F1159" s="2" t="str">
        <v>-</v>
      </c>
      <c r="G1159" s="2" t="str">
        <v>-</v>
      </c>
    </row>
    <row r="1160">
      <c r="A1160" s="2" t="str">
        <v>02/05 ПН</v>
      </c>
      <c r="B1160" s="2" t="str">
        <v>18:00</v>
      </c>
      <c r="C1160" s="2" t="str">
        <v>АНГЛИЯ АНГЛИЯ</v>
      </c>
      <c r="D1160" s="2" t="str">
        <v>Бостон Юнайтед-Глостер</v>
      </c>
      <c r="E1160" s="2" t="str">
        <v>-</v>
      </c>
      <c r="F1160" s="2" t="str">
        <v>-</v>
      </c>
      <c r="G1160" s="2" t="str">
        <v>-</v>
      </c>
    </row>
    <row r="1161">
      <c r="A1161" s="2" t="str">
        <v>02/05 ПН</v>
      </c>
      <c r="B1161" s="2" t="str">
        <v>18:00</v>
      </c>
      <c r="C1161" s="2" t="str">
        <v>АНГЛИЯ АНГЛИЯ</v>
      </c>
      <c r="D1161" s="2" t="str">
        <v>Гуисли-Спеннимур</v>
      </c>
      <c r="E1161" s="2" t="str">
        <v>-</v>
      </c>
      <c r="F1161" s="2" t="str">
        <v>-</v>
      </c>
      <c r="G1161" s="2" t="str">
        <v>-</v>
      </c>
    </row>
    <row r="1162">
      <c r="A1162" s="2" t="str">
        <v>02/05 ПН</v>
      </c>
      <c r="B1162" s="2" t="str">
        <v>18:00</v>
      </c>
      <c r="C1162" s="2" t="str">
        <v>АНГЛИЯ АНГЛИЯ</v>
      </c>
      <c r="D1162" s="2" t="str">
        <v>Дарлингтон-Фарсли</v>
      </c>
      <c r="E1162" s="2" t="str">
        <v>-</v>
      </c>
      <c r="F1162" s="2" t="str">
        <v>-</v>
      </c>
      <c r="G1162" s="2" t="str">
        <v>-</v>
      </c>
    </row>
    <row r="1163">
      <c r="A1163" s="2" t="str">
        <v>02/05 ПН</v>
      </c>
      <c r="B1163" s="2" t="str">
        <v>18:00</v>
      </c>
      <c r="C1163" s="2" t="str">
        <v>АНГЛИЯ АНГЛИЯ</v>
      </c>
      <c r="D1163" s="2" t="str">
        <v>Йорк Сити-Файлд</v>
      </c>
      <c r="E1163" s="2" t="str">
        <v>-</v>
      </c>
      <c r="F1163" s="2" t="str">
        <v>-</v>
      </c>
      <c r="G1163" s="2" t="str">
        <v>-</v>
      </c>
    </row>
    <row r="1164">
      <c r="A1164" s="2" t="str">
        <v>02/05 ПН</v>
      </c>
      <c r="B1164" s="2" t="str">
        <v>18:00</v>
      </c>
      <c r="C1164" s="2" t="str">
        <v>АНГЛИЯ АНГЛИЯ</v>
      </c>
      <c r="D1164" s="2" t="str">
        <v>Кеттеринг-Алфретон</v>
      </c>
      <c r="E1164" s="2" t="str">
        <v>-</v>
      </c>
      <c r="F1164" s="2" t="str">
        <v>-</v>
      </c>
      <c r="G1164" s="2" t="str">
        <v>-</v>
      </c>
    </row>
    <row r="1165">
      <c r="A1165" s="2" t="str">
        <v>02/05 ПН</v>
      </c>
      <c r="B1165" s="2" t="str">
        <v>18:00</v>
      </c>
      <c r="C1165" s="2" t="str">
        <v>АНГЛИЯ АНГЛИЯ</v>
      </c>
      <c r="D1165" s="2" t="str">
        <v>Лимингтон-Киддерминстер</v>
      </c>
      <c r="E1165" s="2" t="str">
        <v>-</v>
      </c>
      <c r="F1165" s="2" t="str">
        <v>-</v>
      </c>
      <c r="G1165" s="2" t="str">
        <v>-</v>
      </c>
    </row>
    <row r="1166">
      <c r="A1166" s="2" t="str">
        <v>02/05 ПН</v>
      </c>
      <c r="B1166" s="2" t="str">
        <v>18:00</v>
      </c>
      <c r="C1166" s="2" t="str">
        <v>АНГЛИЯ АНГЛИЯ</v>
      </c>
      <c r="D1166" s="2" t="str">
        <v>Саутпорт-Телфорд</v>
      </c>
      <c r="E1166" s="2" t="str">
        <v>-</v>
      </c>
      <c r="F1166" s="2" t="str">
        <v>-</v>
      </c>
      <c r="G1166" s="2" t="str">
        <v>-</v>
      </c>
    </row>
    <row r="1167">
      <c r="A1167" s="2" t="str">
        <v>02/05 ПН</v>
      </c>
      <c r="B1167" s="2" t="str">
        <v>18:00</v>
      </c>
      <c r="C1167" s="2" t="str">
        <v>АНГЛИЯ АНГЛИЯ</v>
      </c>
      <c r="D1167" s="2" t="str">
        <v>Херефорд-Бракли Таун</v>
      </c>
      <c r="E1167" s="2" t="str">
        <v>-</v>
      </c>
      <c r="F1167" s="2" t="str">
        <v>-</v>
      </c>
      <c r="G1167" s="2" t="str">
        <v>-</v>
      </c>
    </row>
    <row r="1168">
      <c r="A1168" s="2" t="str">
        <v>02/05 ПН</v>
      </c>
      <c r="B1168" s="2" t="str">
        <v>18:00</v>
      </c>
      <c r="C1168" s="2" t="str">
        <v>АНГЛИЯ АНГЛИЯ</v>
      </c>
      <c r="D1168" s="2" t="str">
        <v>Честер-Брэдфорд Парк Авеню</v>
      </c>
      <c r="E1168" s="2" t="str">
        <v>-</v>
      </c>
      <c r="F1168" s="2" t="str">
        <v>-</v>
      </c>
      <c r="G1168" s="2" t="str">
        <v>-</v>
      </c>
    </row>
    <row r="1169">
      <c r="A1169" s="2" t="str">
        <v>02/05 ПН</v>
      </c>
      <c r="B1169" s="2" t="str">
        <v>18:00</v>
      </c>
      <c r="C1169" s="2" t="str">
        <v>АНГЛИЯ АНГЛИЯ</v>
      </c>
      <c r="D1169" s="2" t="str">
        <v>Чорли-Гейтсхэд</v>
      </c>
      <c r="E1169" s="2" t="str">
        <v>-</v>
      </c>
      <c r="F1169" s="2" t="str">
        <v>-</v>
      </c>
      <c r="G1169" s="2" t="str">
        <v>-</v>
      </c>
    </row>
    <row r="1170">
      <c r="A1170" s="2" t="str">
        <v>02/05 ПН</v>
      </c>
      <c r="B1170" s="2" t="str">
        <v>18:00</v>
      </c>
      <c r="C1170" s="2" t="str">
        <v>АНГЛИЯ АНГЛИЯ</v>
      </c>
      <c r="D1170" s="2" t="str">
        <v>Биллерике-Эббсфлит Юнайтед</v>
      </c>
      <c r="E1170" s="2" t="str">
        <v>-</v>
      </c>
      <c r="F1170" s="2" t="str">
        <v>-</v>
      </c>
      <c r="G1170" s="2" t="str">
        <v>-</v>
      </c>
    </row>
    <row r="1171">
      <c r="A1171" s="2" t="str">
        <v>02/05 ПН</v>
      </c>
      <c r="B1171" s="2" t="str">
        <v>18:00</v>
      </c>
      <c r="C1171" s="2" t="str">
        <v>АНГЛИЯ АНГЛИЯ</v>
      </c>
      <c r="D1171" s="2" t="str">
        <v>Дартфорд-Брэйнтри</v>
      </c>
      <c r="E1171" s="2" t="str">
        <v>-</v>
      </c>
      <c r="F1171" s="2" t="str">
        <v>-</v>
      </c>
      <c r="G1171" s="2" t="str">
        <v>-</v>
      </c>
    </row>
    <row r="1172">
      <c r="A1172" s="2" t="str">
        <v>02/05 ПН</v>
      </c>
      <c r="B1172" s="2" t="str">
        <v>18:00</v>
      </c>
      <c r="C1172" s="2" t="str">
        <v>АНГЛИЯ АНГЛИЯ</v>
      </c>
      <c r="D1172" s="2" t="str">
        <v>Доркинг-Далвич Гамлет</v>
      </c>
      <c r="E1172" s="2" t="str">
        <v>-</v>
      </c>
      <c r="F1172" s="2" t="str">
        <v>-</v>
      </c>
      <c r="G1172" s="2" t="str">
        <v>-</v>
      </c>
    </row>
    <row r="1173">
      <c r="A1173" s="2" t="str">
        <v>02/05 ПН</v>
      </c>
      <c r="B1173" s="2" t="str">
        <v>18:00</v>
      </c>
      <c r="C1173" s="2" t="str">
        <v>АНГЛИЯ АНГЛИЯ</v>
      </c>
      <c r="D1173" s="2" t="str">
        <v>Оксфорд Сити-Ст. Албанс</v>
      </c>
      <c r="E1173" s="2" t="str">
        <v>-</v>
      </c>
      <c r="F1173" s="2" t="str">
        <v>-</v>
      </c>
      <c r="G1173" s="2" t="str">
        <v>-</v>
      </c>
    </row>
    <row r="1174">
      <c r="A1174" s="2" t="str">
        <v>02/05 ПН</v>
      </c>
      <c r="B1174" s="2" t="str">
        <v>18:00</v>
      </c>
      <c r="C1174" s="2" t="str">
        <v>АНГЛИЯ АНГЛИЯ</v>
      </c>
      <c r="D1174" s="2" t="str">
        <v>Тонбридж-Истборн Боро</v>
      </c>
      <c r="E1174" s="2" t="str">
        <v>-</v>
      </c>
      <c r="F1174" s="2" t="str">
        <v>-</v>
      </c>
      <c r="G1174" s="2" t="str">
        <v>-</v>
      </c>
    </row>
    <row r="1175">
      <c r="A1175" s="2" t="str">
        <v>02/05 ПН</v>
      </c>
      <c r="B1175" s="2" t="str">
        <v>18:00</v>
      </c>
      <c r="C1175" s="2" t="str">
        <v>АНГЛИЯ АНГЛИЯ</v>
      </c>
      <c r="D1175" s="2" t="str">
        <v>Уэллинг-Мэйдстоун</v>
      </c>
      <c r="E1175" s="2" t="str">
        <v>-</v>
      </c>
      <c r="F1175" s="2" t="str">
        <v>-</v>
      </c>
      <c r="G1175" s="2" t="str">
        <v>-</v>
      </c>
    </row>
    <row r="1176">
      <c r="A1176" s="2" t="str">
        <v>02/05 ПН</v>
      </c>
      <c r="B1176" s="2" t="str">
        <v>18:00</v>
      </c>
      <c r="C1176" s="2" t="str">
        <v>АНГЛИЯ АНГЛИЯ</v>
      </c>
      <c r="D1176" s="2" t="str">
        <v>Хемел Хэмпстед-Хавант энд В</v>
      </c>
      <c r="E1176" s="2" t="str">
        <v>-</v>
      </c>
      <c r="F1176" s="2" t="str">
        <v>-</v>
      </c>
      <c r="G1176" s="2" t="str">
        <v>-</v>
      </c>
    </row>
    <row r="1177">
      <c r="A1177" s="2" t="str">
        <v>02/05 ПН</v>
      </c>
      <c r="B1177" s="2" t="str">
        <v>18:00</v>
      </c>
      <c r="C1177" s="2" t="str">
        <v>АНГЛИЯ АНГЛИЯ</v>
      </c>
      <c r="D1177" s="2" t="str">
        <v>Хэмптон энд Ричмонд-Слау</v>
      </c>
      <c r="E1177" s="2" t="str">
        <v>-</v>
      </c>
      <c r="F1177" s="2" t="str">
        <v>-</v>
      </c>
      <c r="G1177" s="2" t="str">
        <v>-</v>
      </c>
    </row>
    <row r="1178">
      <c r="A1178" s="2" t="str">
        <v>02/05 ПН</v>
      </c>
      <c r="B1178" s="2" t="str">
        <v>18:00</v>
      </c>
      <c r="C1178" s="2" t="str">
        <v>АНГЛИЯ АНГЛИЯ</v>
      </c>
      <c r="D1178" s="2" t="str">
        <v>Чиппенхэм-Хангерфорд</v>
      </c>
      <c r="E1178" s="2" t="str">
        <v>-</v>
      </c>
      <c r="F1178" s="2" t="str">
        <v>-</v>
      </c>
      <c r="G1178" s="2" t="str">
        <v>-</v>
      </c>
    </row>
    <row r="1179">
      <c r="A1179" s="2" t="str">
        <v>02/05 ПН</v>
      </c>
      <c r="B1179" s="2" t="str">
        <v>18:00</v>
      </c>
      <c r="C1179" s="2" t="str">
        <v>АНГЛИЯ АНГЛИЯ</v>
      </c>
      <c r="D1179" s="2" t="str">
        <v>Скарборо-Уоррингтон</v>
      </c>
      <c r="E1179" s="2" t="str">
        <v>-</v>
      </c>
      <c r="F1179" s="2" t="str">
        <v>-</v>
      </c>
      <c r="G1179" s="2" t="str">
        <v>-</v>
      </c>
    </row>
    <row r="1180">
      <c r="A1180" s="2" t="str">
        <v>02/05 ПН</v>
      </c>
      <c r="B1180" s="2" t="str">
        <v>18:00</v>
      </c>
      <c r="C1180" s="2" t="str">
        <v>АНГЛИЯ АНГЛИЯ</v>
      </c>
      <c r="D1180" s="2" t="str">
        <v>Питерборо Спортс-Коалвилль</v>
      </c>
      <c r="E1180" s="2" t="str">
        <v>-</v>
      </c>
      <c r="F1180" s="2" t="str">
        <v>-</v>
      </c>
      <c r="G1180" s="2" t="str">
        <v>-</v>
      </c>
    </row>
    <row r="1181">
      <c r="A1181" s="2" t="str">
        <v>02/05 ПН</v>
      </c>
      <c r="B1181" s="2" t="str">
        <v>18:00</v>
      </c>
      <c r="C1181" s="2" t="str">
        <v>АНГЛИЯ АНГЛИЯ</v>
      </c>
      <c r="D1181" s="2" t="str">
        <v>Хайес энд Йидинг-Фарнборо</v>
      </c>
      <c r="E1181" s="2" t="str">
        <v>-</v>
      </c>
      <c r="F1181" s="2" t="str">
        <v>-</v>
      </c>
      <c r="G1181" s="2" t="str">
        <v>-</v>
      </c>
    </row>
    <row r="1182">
      <c r="A1182" s="2" t="str">
        <v>02/05 ПН</v>
      </c>
      <c r="B1182" s="2" t="str">
        <v>18:00</v>
      </c>
      <c r="C1182" s="2" t="str">
        <v>АНГЛИЯ АНГЛИЯ</v>
      </c>
      <c r="D1182" s="2" t="str">
        <v>Хорнчерч-Чешант</v>
      </c>
      <c r="E1182" s="2" t="str">
        <v>-</v>
      </c>
      <c r="F1182" s="2" t="str">
        <v>-</v>
      </c>
      <c r="G1182" s="2" t="str">
        <v>-</v>
      </c>
    </row>
    <row r="1183">
      <c r="A1183" s="2" t="str">
        <v>02/05 ПН</v>
      </c>
      <c r="B1183" s="2" t="str">
        <v>15:30</v>
      </c>
      <c r="C1183" s="2" t="str">
        <v>АНГЛИЯ АНГЛИЯ</v>
      </c>
      <c r="D1183" s="2" t="str">
        <v>Астон Вилла U23-Ньюкасл Юнайтед U23</v>
      </c>
      <c r="E1183" s="2" t="str">
        <v>-</v>
      </c>
      <c r="F1183" s="2" t="str">
        <v>-</v>
      </c>
      <c r="G1183" s="2" t="str">
        <v>-</v>
      </c>
    </row>
    <row r="1184">
      <c r="A1184" s="2" t="str">
        <v>02/05 ПН</v>
      </c>
      <c r="B1184" s="2" t="str">
        <v>16:00</v>
      </c>
      <c r="C1184" s="2" t="str">
        <v>АНГЛИЯ АНГЛИЯ</v>
      </c>
      <c r="D1184" s="2" t="str">
        <v>Тоттенхэм U23-Брайтон U23</v>
      </c>
      <c r="E1184" s="2" t="str">
        <v>-</v>
      </c>
      <c r="F1184" s="2" t="str">
        <v>-</v>
      </c>
      <c r="G1184" s="2" t="str">
        <v>-</v>
      </c>
    </row>
    <row r="1185">
      <c r="A1185" s="2" t="str">
        <v>02/05 ПН</v>
      </c>
      <c r="B1185" s="2" t="str">
        <v>19:00</v>
      </c>
      <c r="C1185" s="2" t="str">
        <v>АНГЛИЯ АНГЛИЯ</v>
      </c>
      <c r="D1185" s="2" t="str">
        <v>Кристал Пэлас U23-Лестер U23</v>
      </c>
      <c r="E1185" s="2" t="str">
        <v>-</v>
      </c>
      <c r="F1185" s="2" t="str">
        <v>-</v>
      </c>
      <c r="G1185" s="2" t="str">
        <v>-</v>
      </c>
    </row>
    <row r="1186">
      <c r="A1186" s="2" t="str">
        <v>02/05 ПН</v>
      </c>
      <c r="B1186" s="2" t="str">
        <v>22:00</v>
      </c>
      <c r="C1186" s="2" t="str">
        <v>АНГЛИЯ АНГЛИЯ</v>
      </c>
      <c r="D1186" s="2" t="str">
        <v>Вест Хэм U23-Дерби Каунти U23</v>
      </c>
      <c r="E1186" s="2" t="str">
        <v>-</v>
      </c>
      <c r="F1186" s="2" t="str">
        <v>-</v>
      </c>
      <c r="G1186" s="2" t="str">
        <v>-</v>
      </c>
    </row>
    <row r="1187">
      <c r="A1187" s="2" t="str">
        <v>02/05 ПН</v>
      </c>
      <c r="B1187" s="2" t="str">
        <v>17:00</v>
      </c>
      <c r="C1187" s="2" t="str">
        <v>АНГЛИЯ АНГЛИЯ</v>
      </c>
      <c r="D1187" s="2" t="str">
        <v>Чарльтон U23-Халл Сити U23</v>
      </c>
      <c r="E1187" s="2" t="str">
        <v>-</v>
      </c>
      <c r="F1187" s="2" t="str">
        <v>-</v>
      </c>
      <c r="G1187" s="2" t="str">
        <v>-</v>
      </c>
    </row>
    <row r="1188">
      <c r="A1188" s="2" t="str">
        <v>02/05 ПН</v>
      </c>
      <c r="B1188" s="2" t="str">
        <v>22:05</v>
      </c>
      <c r="C1188" s="2" t="str">
        <v>АРГЕНТИНА АРГЕНТИНА</v>
      </c>
      <c r="D1188" s="2" t="str">
        <v>Сакачиспас-Сан-Мартин Тукуман</v>
      </c>
      <c r="E1188" s="2" t="str">
        <v>4.33</v>
      </c>
      <c r="F1188" s="2" t="str">
        <v>3.20</v>
      </c>
      <c r="G1188" s="2" t="str">
        <v>1.95</v>
      </c>
    </row>
    <row r="1189">
      <c r="A1189" s="2" t="str">
        <v>02/05 ПН</v>
      </c>
      <c r="B1189" s="2" t="str">
        <v>23:00</v>
      </c>
      <c r="C1189" s="2" t="str">
        <v>АРГЕНТИНА АРГЕНТИНА</v>
      </c>
      <c r="D1189" s="2" t="str">
        <v>Депортиво Майпу-Атлетико Рафаэла</v>
      </c>
      <c r="E1189" s="2" t="str">
        <v>1.95</v>
      </c>
      <c r="F1189" s="2" t="str">
        <v>2.75</v>
      </c>
      <c r="G1189" s="2" t="str">
        <v>4.20</v>
      </c>
    </row>
    <row r="1190">
      <c r="A1190" s="2" t="str">
        <v>02/05 ПН</v>
      </c>
      <c r="B1190" s="2" t="str">
        <v>23:30</v>
      </c>
      <c r="C1190" s="2" t="str">
        <v>АРГЕНТИНА АРГЕНТИНА</v>
      </c>
      <c r="D1190" s="2" t="str">
        <v>Клуб Атлетико Митре-Дефенсорес де Бельграно</v>
      </c>
      <c r="E1190" s="2" t="str">
        <v>2.10</v>
      </c>
      <c r="F1190" s="2" t="str">
        <v>3.10</v>
      </c>
      <c r="G1190" s="2" t="str">
        <v>4.00</v>
      </c>
    </row>
    <row r="1191">
      <c r="A1191" s="2" t="str">
        <v>02/05 ПН</v>
      </c>
      <c r="B1191" s="2" t="str">
        <v>22:30</v>
      </c>
      <c r="C1191" s="2" t="str">
        <v>АРГЕНТИНА АРГЕНТИНА</v>
      </c>
      <c r="D1191" s="2" t="str">
        <v>Сан-Мигель-Архентино де Кильмес</v>
      </c>
      <c r="E1191" s="2" t="str">
        <v>-</v>
      </c>
      <c r="F1191" s="2" t="str">
        <v>-</v>
      </c>
      <c r="G1191" s="2" t="str">
        <v>-</v>
      </c>
    </row>
    <row r="1192">
      <c r="A1192" s="2" t="str">
        <v>02/05 ПН</v>
      </c>
      <c r="B1192" s="2" t="str">
        <v>22:30</v>
      </c>
      <c r="C1192" s="2" t="str">
        <v>АРГЕНТИНА АРГЕНТИНА</v>
      </c>
      <c r="D1192" s="2" t="str">
        <v>Феникс-Хусто Хосе де Уркиса</v>
      </c>
      <c r="E1192" s="2" t="str">
        <v>-</v>
      </c>
      <c r="F1192" s="2" t="str">
        <v>-</v>
      </c>
      <c r="G1192" s="2" t="str">
        <v>-</v>
      </c>
    </row>
    <row r="1193">
      <c r="A1193" s="2" t="str">
        <v>02/05 ПН</v>
      </c>
      <c r="B1193" s="2" t="str">
        <v>22:30</v>
      </c>
      <c r="C1193" s="2" t="str">
        <v>АРГЕНТИНА АРГЕНТИНА</v>
      </c>
      <c r="D1193" s="2" t="str">
        <v>Атлас-Лаферрере</v>
      </c>
      <c r="E1193" s="2" t="str">
        <v>-</v>
      </c>
      <c r="F1193" s="2" t="str">
        <v>-</v>
      </c>
      <c r="G1193" s="2" t="str">
        <v>-</v>
      </c>
    </row>
    <row r="1194">
      <c r="A1194" s="2" t="str">
        <v>02/05 ПН</v>
      </c>
      <c r="B1194" s="2" t="str">
        <v>22:30</v>
      </c>
      <c r="C1194" s="2" t="str">
        <v>АРГЕНТИНА АРГЕНТИНА</v>
      </c>
      <c r="D1194" s="2" t="str">
        <v>Клайполе-Клуб Лухан</v>
      </c>
      <c r="E1194" s="2" t="str">
        <v>-</v>
      </c>
      <c r="F1194" s="2" t="str">
        <v>-</v>
      </c>
      <c r="G1194" s="2" t="str">
        <v>-</v>
      </c>
    </row>
    <row r="1195">
      <c r="A1195" s="2" t="str">
        <v>02/05 ПН</v>
      </c>
      <c r="B1195" s="2" t="str">
        <v>22:30</v>
      </c>
      <c r="C1195" s="2" t="str">
        <v>АРГЕНТИНА АРГЕНТИНА</v>
      </c>
      <c r="D1195" s="2" t="str">
        <v>Леандро Н. Алем-Эль Порвенир</v>
      </c>
      <c r="E1195" s="2" t="str">
        <v>-</v>
      </c>
      <c r="F1195" s="2" t="str">
        <v>-</v>
      </c>
      <c r="G1195" s="2" t="str">
        <v>-</v>
      </c>
    </row>
    <row r="1196">
      <c r="A1196" s="2" t="str">
        <v>02/05 ПН</v>
      </c>
      <c r="B1196" s="2" t="str">
        <v>16:00</v>
      </c>
      <c r="C1196" s="2" t="str">
        <v>АРГЕНТИНА АРГЕНТИНА</v>
      </c>
      <c r="D1196" s="2" t="str">
        <v>Годой Крус 2-Сентраль Кордоба 2</v>
      </c>
      <c r="E1196" s="2" t="str">
        <v>-</v>
      </c>
      <c r="F1196" s="2" t="str">
        <v>-</v>
      </c>
      <c r="G1196" s="2" t="str">
        <v>-</v>
      </c>
    </row>
    <row r="1197">
      <c r="A1197" s="2" t="str">
        <v>02/05 ПН</v>
      </c>
      <c r="B1197" s="2" t="str">
        <v>16:00</v>
      </c>
      <c r="C1197" s="2" t="str">
        <v>АРГЕНТИНА АРГЕНТИНА</v>
      </c>
      <c r="D1197" s="2" t="str">
        <v>Расинг 2-Банфилд 2</v>
      </c>
      <c r="E1197" s="2" t="str">
        <v>-</v>
      </c>
      <c r="F1197" s="2" t="str">
        <v>-</v>
      </c>
      <c r="G1197" s="2" t="str">
        <v>-</v>
      </c>
    </row>
    <row r="1198">
      <c r="A1198" s="2" t="str">
        <v>02/05 ПН</v>
      </c>
      <c r="B1198" s="2" t="str">
        <v>18:00</v>
      </c>
      <c r="C1198" s="2" t="str">
        <v>АРГЕНТИНА АРГЕНТИНА</v>
      </c>
      <c r="D1198" s="2" t="str">
        <v>Платенсе 2-Аргентинос Хуниорс 2</v>
      </c>
      <c r="E1198" s="2" t="str">
        <v>-</v>
      </c>
      <c r="F1198" s="2" t="str">
        <v>-</v>
      </c>
      <c r="G1198" s="2" t="str">
        <v>-</v>
      </c>
    </row>
    <row r="1199">
      <c r="A1199" s="2" t="str">
        <v>02/05 ПН</v>
      </c>
      <c r="B1199" s="2" t="str">
        <v>18:00</v>
      </c>
      <c r="C1199" s="2" t="str">
        <v>АРГЕНТИНА АРГЕНТИНА</v>
      </c>
      <c r="D1199" s="2" t="str">
        <v>Комуникасьонес (Ж)-Эстудиантес (Ж)</v>
      </c>
      <c r="E1199" s="2" t="str">
        <v>-</v>
      </c>
      <c r="F1199" s="2" t="str">
        <v>-</v>
      </c>
      <c r="G1199" s="2" t="str">
        <v>-</v>
      </c>
    </row>
    <row r="1200">
      <c r="A1200" s="2" t="str">
        <v>02/05 ПН</v>
      </c>
      <c r="B1200" s="2" t="str">
        <v>19:50</v>
      </c>
      <c r="C1200" s="2" t="str">
        <v>АРГЕНТИНА АРГЕНТИНА</v>
      </c>
      <c r="D1200" s="2" t="str">
        <v>Сан-Лоренсо (Ж)-Эль Порвенир (Ж)</v>
      </c>
      <c r="E1200" s="2" t="str">
        <v>-</v>
      </c>
      <c r="F1200" s="2" t="str">
        <v>-</v>
      </c>
      <c r="G1200" s="2" t="str">
        <v>-</v>
      </c>
    </row>
    <row r="1201">
      <c r="A1201" s="2" t="str">
        <v>02/05 ПН</v>
      </c>
      <c r="B1201" s="2" t="str">
        <v>22:00</v>
      </c>
      <c r="C1201" s="2" t="str">
        <v>АРГЕНТИНА АРГЕНТИНА</v>
      </c>
      <c r="D1201" s="2" t="str">
        <v>Эстудиантес (Ж)-Ферро (Ж)</v>
      </c>
      <c r="E1201" s="2" t="str">
        <v>-</v>
      </c>
      <c r="F1201" s="2" t="str">
        <v>-</v>
      </c>
      <c r="G1201" s="2" t="str">
        <v>-</v>
      </c>
    </row>
    <row r="1202" xml:space="preserve">
      <c r="A1202" s="2" t="str">
        <v>02/05 ПН</v>
      </c>
      <c r="B1202" s="2" t="str" xml:space="preserve">
        <v xml:space="preserve">02:00_x000d_
TKP</v>
      </c>
      <c r="C1202" s="2" t="str">
        <v>АРУБА АРУБА</v>
      </c>
      <c r="D1202" s="2" t="str">
        <v>Бубали-Эстрелла</v>
      </c>
      <c r="E1202" s="2" t="str">
        <v>-</v>
      </c>
      <c r="F1202" s="2" t="str">
        <v>-</v>
      </c>
      <c r="G1202" s="2" t="str">
        <v>-</v>
      </c>
    </row>
    <row r="1203" xml:space="preserve">
      <c r="A1203" s="2" t="str">
        <v>02/05 ПН</v>
      </c>
      <c r="B1203" s="2" t="str" xml:space="preserve">
        <v xml:space="preserve">04:00_x000d_
TKP</v>
      </c>
      <c r="C1203" s="2" t="str">
        <v>АРУБА АРУБА</v>
      </c>
      <c r="D1203" s="2" t="str">
        <v>Каравел-Депортиво Насьональ</v>
      </c>
      <c r="E1203" s="2" t="str">
        <v>-</v>
      </c>
      <c r="F1203" s="2" t="str">
        <v>-</v>
      </c>
      <c r="G1203" s="2" t="str">
        <v>-</v>
      </c>
    </row>
    <row r="1204">
      <c r="A1204" s="2" t="str">
        <v>02/05 ПН</v>
      </c>
      <c r="B1204" s="2" t="str">
        <v>14:00</v>
      </c>
      <c r="C1204" s="2" t="str">
        <v>БЕЛАРУСЬ БЕЛАРУСЬ</v>
      </c>
      <c r="D1204" s="2" t="str">
        <v>Витебск-Днепр Могилев</v>
      </c>
      <c r="E1204" s="2" t="str">
        <v>-</v>
      </c>
      <c r="F1204" s="2" t="str">
        <v>-</v>
      </c>
      <c r="G1204" s="2" t="str">
        <v>-</v>
      </c>
    </row>
    <row r="1205">
      <c r="A1205" s="2" t="str">
        <v>02/05 ПН</v>
      </c>
      <c r="B1205" s="2" t="str">
        <v>16:00</v>
      </c>
      <c r="C1205" s="2" t="str">
        <v>БЕЛАРУСЬ БЕЛАРУСЬ</v>
      </c>
      <c r="D1205" s="2" t="str">
        <v>Неман-Энергетик-БГУ</v>
      </c>
      <c r="E1205" s="2" t="str">
        <v>-</v>
      </c>
      <c r="F1205" s="2" t="str">
        <v>-</v>
      </c>
      <c r="G1205" s="2" t="str">
        <v>-</v>
      </c>
    </row>
    <row r="1206">
      <c r="A1206" s="2" t="str">
        <v>02/05 ПН</v>
      </c>
      <c r="B1206" s="2" t="str">
        <v>18:00</v>
      </c>
      <c r="C1206" s="2" t="str">
        <v>БЕЛАРУСЬ БЕЛАРУСЬ</v>
      </c>
      <c r="D1206" s="2" t="str">
        <v>Шахтер Солигорск-Гомель</v>
      </c>
      <c r="E1206" s="2" t="str">
        <v>-</v>
      </c>
      <c r="F1206" s="2" t="str">
        <v>-</v>
      </c>
      <c r="G1206" s="2" t="str">
        <v>-</v>
      </c>
    </row>
    <row r="1207">
      <c r="A1207" s="2" t="str">
        <v>02/05 ПН</v>
      </c>
      <c r="B1207" s="2" t="str">
        <v>20:00</v>
      </c>
      <c r="C1207" s="2" t="str">
        <v>БЕЛАРУСЬ БЕЛАРУСЬ</v>
      </c>
      <c r="D1207" s="2" t="str">
        <v>Динамо Минск-БАТЭ</v>
      </c>
      <c r="E1207" s="2" t="str">
        <v>-</v>
      </c>
      <c r="F1207" s="2" t="str">
        <v>-</v>
      </c>
      <c r="G1207" s="2" t="str">
        <v>-</v>
      </c>
    </row>
    <row r="1208">
      <c r="A1208" s="2" t="str">
        <v>02/05 ПН</v>
      </c>
      <c r="B1208" s="2" t="str">
        <v>16:00</v>
      </c>
      <c r="C1208" s="2" t="str">
        <v>БЕЛАРУСЬ БЕЛАРУСЬ</v>
      </c>
      <c r="D1208" s="2" t="str">
        <v>Ислочь 2-Минск 2</v>
      </c>
      <c r="E1208" s="2" t="str">
        <v>-</v>
      </c>
      <c r="F1208" s="2" t="str">
        <v>-</v>
      </c>
      <c r="G1208" s="2" t="str">
        <v>-</v>
      </c>
    </row>
    <row r="1209">
      <c r="A1209" s="2" t="str">
        <v>02/05 ПН</v>
      </c>
      <c r="B1209" s="2" t="str">
        <v>16:30</v>
      </c>
      <c r="C1209" s="2" t="str">
        <v>БЕЛАРУСЬ БЕЛАРУСЬ</v>
      </c>
      <c r="D1209" s="2" t="str">
        <v>ФК Брест 2-Арсенал Дзержинск 2</v>
      </c>
      <c r="E1209" s="2" t="str">
        <v>-</v>
      </c>
      <c r="F1209" s="2" t="str">
        <v>-</v>
      </c>
      <c r="G1209" s="2" t="str">
        <v>-</v>
      </c>
    </row>
    <row r="1210">
      <c r="A1210" s="2" t="str">
        <v>02/05 ПН</v>
      </c>
      <c r="B1210" s="2" t="str">
        <v>21:30</v>
      </c>
      <c r="C1210" s="2" t="str">
        <v>БЕЛЬГИЯ БЕЛЬГИЯ</v>
      </c>
      <c r="D1210" s="2" t="str">
        <v>Васланд-Беверен U21-РВД Моленбек U21</v>
      </c>
      <c r="E1210" s="2" t="str">
        <v>-</v>
      </c>
      <c r="F1210" s="2" t="str">
        <v>-</v>
      </c>
      <c r="G1210" s="2" t="str">
        <v>-</v>
      </c>
    </row>
    <row r="1211">
      <c r="A1211" s="2" t="str">
        <v>02/05 ПН</v>
      </c>
      <c r="B1211" s="2" t="str">
        <v>21:30</v>
      </c>
      <c r="C1211" s="2" t="str">
        <v>БЕЛЬГИЯ БЕЛЬГИЯ</v>
      </c>
      <c r="D1211" s="2" t="str">
        <v>Генк U21-Брюгге U21</v>
      </c>
      <c r="E1211" s="2" t="str">
        <v>-</v>
      </c>
      <c r="F1211" s="2" t="str">
        <v>-</v>
      </c>
      <c r="G1211" s="2" t="str">
        <v>-</v>
      </c>
    </row>
    <row r="1212">
      <c r="A1212" s="2" t="str">
        <v>02/05 ПН</v>
      </c>
      <c r="B1212" s="2" t="str">
        <v>21:30</v>
      </c>
      <c r="C1212" s="2" t="str">
        <v>БЕЛЬГИЯ БЕЛЬГИЯ</v>
      </c>
      <c r="D1212" s="2" t="str">
        <v>Гент U21-Антверпен U21</v>
      </c>
      <c r="E1212" s="2" t="str">
        <v>-</v>
      </c>
      <c r="F1212" s="2" t="str">
        <v>-</v>
      </c>
      <c r="G1212" s="2" t="str">
        <v>-</v>
      </c>
    </row>
    <row r="1213">
      <c r="A1213" s="2" t="str">
        <v>02/05 ПН</v>
      </c>
      <c r="B1213" s="2" t="str">
        <v>21:30</v>
      </c>
      <c r="C1213" s="2" t="str">
        <v>БЕЛЬГИЯ БЕЛЬГИЯ</v>
      </c>
      <c r="D1213" s="2" t="str">
        <v>Кортрейк U21-Льерс U21</v>
      </c>
      <c r="E1213" s="2" t="str">
        <v>-</v>
      </c>
      <c r="F1213" s="2" t="str">
        <v>-</v>
      </c>
      <c r="G1213" s="2" t="str">
        <v>-</v>
      </c>
    </row>
    <row r="1214">
      <c r="A1214" s="2" t="str">
        <v>02/05 ПН</v>
      </c>
      <c r="B1214" s="2" t="str">
        <v>21:30</v>
      </c>
      <c r="C1214" s="2" t="str">
        <v>БЕЛЬГИЯ БЕЛЬГИЯ</v>
      </c>
      <c r="D1214" s="2" t="str">
        <v>Серкль Брюгге U21-Зюльте-Варегем U21</v>
      </c>
      <c r="E1214" s="2" t="str">
        <v>-</v>
      </c>
      <c r="F1214" s="2" t="str">
        <v>-</v>
      </c>
      <c r="G1214" s="2" t="str">
        <v>-</v>
      </c>
    </row>
    <row r="1215">
      <c r="A1215" s="2" t="str">
        <v>02/05 ПН</v>
      </c>
      <c r="B1215" s="2" t="str">
        <v>21:30</v>
      </c>
      <c r="C1215" s="2" t="str">
        <v>БЕЛЬГИЯ БЕЛЬГИЯ</v>
      </c>
      <c r="D1215" s="2" t="str">
        <v>Стандард U21-Шарлеруа U21</v>
      </c>
      <c r="E1215" s="2" t="str">
        <v>-</v>
      </c>
      <c r="F1215" s="2" t="str">
        <v>-</v>
      </c>
      <c r="G1215" s="2" t="str">
        <v>-</v>
      </c>
    </row>
    <row r="1216">
      <c r="A1216" s="2" t="str">
        <v>02/05 ПН</v>
      </c>
      <c r="B1216" s="2" t="str">
        <v>22:00</v>
      </c>
      <c r="C1216" s="2" t="str">
        <v>БЕЛЬГИЯ БЕЛЬГИЯ</v>
      </c>
      <c r="D1216" s="2" t="str">
        <v>Беерсхот U21-Эйпен U21</v>
      </c>
      <c r="E1216" s="2" t="str">
        <v>-</v>
      </c>
      <c r="F1216" s="2" t="str">
        <v>-</v>
      </c>
      <c r="G1216" s="2" t="str">
        <v>-</v>
      </c>
    </row>
    <row r="1217">
      <c r="A1217" s="2" t="str">
        <v>02/05 ПН</v>
      </c>
      <c r="B1217" s="2" t="str">
        <v>22:00</v>
      </c>
      <c r="C1217" s="2" t="str">
        <v>БЕЛЬГИЯ БЕЛЬГИЯ</v>
      </c>
      <c r="D1217" s="2" t="str">
        <v>Вестерло U21-Мускрон U21</v>
      </c>
      <c r="E1217" s="2" t="str">
        <v>-</v>
      </c>
      <c r="F1217" s="2" t="str">
        <v>-</v>
      </c>
      <c r="G1217" s="2" t="str">
        <v>-</v>
      </c>
    </row>
    <row r="1218">
      <c r="A1218" s="2" t="str">
        <v>02/05 ПН</v>
      </c>
      <c r="B1218" s="2" t="str">
        <v>22:00</v>
      </c>
      <c r="C1218" s="2" t="str">
        <v>БЕЛЬГИЯ БЕЛЬГИЯ</v>
      </c>
      <c r="D1218" s="2" t="str">
        <v>Ломмель U21-Серен U21</v>
      </c>
      <c r="E1218" s="2" t="str">
        <v>-</v>
      </c>
      <c r="F1218" s="2" t="str">
        <v>-</v>
      </c>
      <c r="G1218" s="2" t="str">
        <v>-</v>
      </c>
    </row>
    <row r="1219">
      <c r="A1219" s="2" t="str">
        <v>02/05 ПН</v>
      </c>
      <c r="B1219" s="2" t="str">
        <v>22:00</v>
      </c>
      <c r="C1219" s="2" t="str">
        <v>БЕЛЬГИЯ БЕЛЬГИЯ</v>
      </c>
      <c r="D1219" s="2" t="str">
        <v>Мехелен U21-Андерлехт U21</v>
      </c>
      <c r="E1219" s="2" t="str">
        <v>-</v>
      </c>
      <c r="F1219" s="2" t="str">
        <v>-</v>
      </c>
      <c r="G1219" s="2" t="str">
        <v>-</v>
      </c>
    </row>
    <row r="1220">
      <c r="A1220" s="2" t="str">
        <v>02/05 ПН</v>
      </c>
      <c r="B1220" s="2" t="str">
        <v>22:00</v>
      </c>
      <c r="C1220" s="2" t="str">
        <v>БЕЛЬГИЯ БЕЛЬГИЯ</v>
      </c>
      <c r="D1220" s="2" t="str">
        <v>Роял Юнион Сен-Жилуаз U21-Виртон U21</v>
      </c>
      <c r="E1220" s="2" t="str">
        <v>-</v>
      </c>
      <c r="F1220" s="2" t="str">
        <v>-</v>
      </c>
      <c r="G1220" s="2" t="str">
        <v>-</v>
      </c>
    </row>
    <row r="1221">
      <c r="A1221" s="2" t="str">
        <v>02/05 ПН</v>
      </c>
      <c r="B1221" s="2" t="str">
        <v>22:00</v>
      </c>
      <c r="C1221" s="2" t="str">
        <v>БЕЛЬГИЯ БЕЛЬГИЯ</v>
      </c>
      <c r="D1221" s="2" t="str">
        <v>Хеверли Лувен U21-Синт-Трёйден U21</v>
      </c>
      <c r="E1221" s="2" t="str">
        <v>-</v>
      </c>
      <c r="F1221" s="2" t="str">
        <v>-</v>
      </c>
      <c r="G1221" s="2" t="str">
        <v>-</v>
      </c>
    </row>
    <row r="1222">
      <c r="A1222" s="2" t="str">
        <v>02/05 ПН</v>
      </c>
      <c r="B1222" s="2" t="str">
        <v>18:30</v>
      </c>
      <c r="C1222" s="2" t="str">
        <v>БОЛГАРИЯ БОЛГАРИЯ</v>
      </c>
      <c r="D1222" s="2" t="str">
        <v>Ботев Враца-Пирин</v>
      </c>
      <c r="E1222" s="2" t="str">
        <v>3.60</v>
      </c>
      <c r="F1222" s="2" t="str">
        <v>3.20</v>
      </c>
      <c r="G1222" s="2" t="str">
        <v>2.15</v>
      </c>
    </row>
    <row r="1223">
      <c r="A1223" s="2" t="str">
        <v>02/05 ПН</v>
      </c>
      <c r="B1223" s="2" t="str">
        <v>21:00</v>
      </c>
      <c r="C1223" s="2" t="str">
        <v>БОЛГАРИЯ БОЛГАРИЯ</v>
      </c>
      <c r="D1223" s="2" t="str">
        <v>Локомотив София-Царско Село</v>
      </c>
      <c r="E1223" s="2" t="str">
        <v>1.90</v>
      </c>
      <c r="F1223" s="2" t="str">
        <v>3.20</v>
      </c>
      <c r="G1223" s="2" t="str">
        <v>4.50</v>
      </c>
    </row>
    <row r="1224">
      <c r="A1224" s="2" t="str">
        <v>02/05 ПН</v>
      </c>
      <c r="B1224" s="2" t="str">
        <v>04:00</v>
      </c>
      <c r="C1224" s="2" t="str">
        <v>БОЛИВИЯ БОЛИВИЯ</v>
      </c>
      <c r="D1224" s="2" t="str">
        <v>Ориенте Петролеро-Атлетико Пальмафлор</v>
      </c>
      <c r="E1224" s="2" t="str">
        <v>1.65</v>
      </c>
      <c r="F1224" s="2" t="str">
        <v>3.75</v>
      </c>
      <c r="G1224" s="2" t="str">
        <v>4.50</v>
      </c>
    </row>
    <row r="1225">
      <c r="A1225" s="2" t="str">
        <v>02/05 ПН</v>
      </c>
      <c r="B1225" s="2" t="str">
        <v>02:00</v>
      </c>
      <c r="C1225" s="2" t="str">
        <v>БРАЗИЛИЯ БРАЗИЛИЯ</v>
      </c>
      <c r="D1225" s="2" t="str">
        <v>Интернасьональ-Аваи</v>
      </c>
      <c r="E1225" s="2" t="str">
        <v>1.50</v>
      </c>
      <c r="F1225" s="2" t="str">
        <v>3.75</v>
      </c>
      <c r="G1225" s="2" t="str">
        <v>8.00</v>
      </c>
    </row>
    <row r="1226">
      <c r="A1226" s="2" t="str">
        <v>02/05 ПН</v>
      </c>
      <c r="B1226" s="2" t="str">
        <v>01:00</v>
      </c>
      <c r="C1226" s="2" t="str">
        <v>БРАЗИЛИЯ БРАЗИЛИЯ</v>
      </c>
      <c r="D1226" s="2" t="str">
        <v>Томбенсе-Васко да Гама</v>
      </c>
      <c r="E1226" s="2" t="str">
        <v>-</v>
      </c>
      <c r="F1226" s="2" t="str">
        <v>-</v>
      </c>
      <c r="G1226" s="2" t="str">
        <v>-</v>
      </c>
    </row>
    <row r="1227">
      <c r="A1227" s="2" t="str">
        <v>02/05 ПН</v>
      </c>
      <c r="B1227" s="2" t="str">
        <v>00:00</v>
      </c>
      <c r="C1227" s="2" t="str">
        <v>БРАЗИЛИЯ БРАЗИЛИЯ</v>
      </c>
      <c r="D1227" s="2" t="str">
        <v>Сан-Жозе-Бразил де Пелотас</v>
      </c>
      <c r="E1227" s="2" t="str">
        <v>-</v>
      </c>
      <c r="F1227" s="2" t="str">
        <v>-</v>
      </c>
      <c r="G1227" s="2" t="str">
        <v>-</v>
      </c>
    </row>
    <row r="1228">
      <c r="A1228" s="2" t="str">
        <v>02/05 ПН</v>
      </c>
      <c r="B1228" s="2" t="str">
        <v>02:00</v>
      </c>
      <c r="C1228" s="2" t="str">
        <v>БРАЗИЛИЯ БРАЗИЛИЯ</v>
      </c>
      <c r="D1228" s="2" t="str">
        <v>Конфьянса-Ремо</v>
      </c>
      <c r="E1228" s="2" t="str">
        <v>-</v>
      </c>
      <c r="F1228" s="2" t="str">
        <v>-</v>
      </c>
      <c r="G1228" s="2" t="str">
        <v>-</v>
      </c>
    </row>
    <row r="1229">
      <c r="A1229" s="2" t="str">
        <v>02/05 ПН</v>
      </c>
      <c r="B1229" s="2" t="str">
        <v>00:00</v>
      </c>
      <c r="C1229" s="2" t="str">
        <v>БРАЗИЛИЯ БРАЗИЛИЯ</v>
      </c>
      <c r="D1229" s="2" t="str">
        <v>Мото Клуб-Жувентуде</v>
      </c>
      <c r="E1229" s="2" t="str">
        <v>-</v>
      </c>
      <c r="F1229" s="2" t="str">
        <v>-</v>
      </c>
      <c r="G1229" s="2" t="str">
        <v>-</v>
      </c>
    </row>
    <row r="1230">
      <c r="A1230" s="2" t="str">
        <v>02/05 ПН</v>
      </c>
      <c r="B1230" s="2" t="str">
        <v>01:00</v>
      </c>
      <c r="C1230" s="2" t="str">
        <v>БРАЗИЛИЯ БРАЗИЛИЯ</v>
      </c>
      <c r="D1230" s="2" t="str">
        <v>Рио-Бранко-Умайта</v>
      </c>
      <c r="E1230" s="2" t="str">
        <v>-</v>
      </c>
      <c r="F1230" s="2" t="str">
        <v>-</v>
      </c>
      <c r="G1230" s="2" t="str">
        <v>-</v>
      </c>
    </row>
    <row r="1231">
      <c r="A1231" s="2" t="str">
        <v>02/05 ПН</v>
      </c>
      <c r="B1231" s="2" t="str">
        <v>02:00</v>
      </c>
      <c r="C1231" s="2" t="str">
        <v>БРАЗИЛИЯ БРАЗИЛИЯ</v>
      </c>
      <c r="D1231" s="2" t="str">
        <v>ЦСА-Крузейро Арапирака</v>
      </c>
      <c r="E1231" s="2" t="str">
        <v>-</v>
      </c>
      <c r="F1231" s="2" t="str">
        <v>-</v>
      </c>
      <c r="G1231" s="2" t="str">
        <v>-</v>
      </c>
    </row>
    <row r="1232" xml:space="preserve">
      <c r="A1232" s="2" t="str">
        <v>02/05 ПН</v>
      </c>
      <c r="B1232" s="2" t="str" xml:space="preserve">
        <v xml:space="preserve">00:30_x000d_
TKP</v>
      </c>
      <c r="C1232" s="2" t="str">
        <v>БРАЗИЛИЯ БРАЗИЛИЯ</v>
      </c>
      <c r="D1232" s="2" t="str">
        <v>Авенида-Интер Санта-Мария</v>
      </c>
      <c r="E1232" s="2" t="str">
        <v>-</v>
      </c>
      <c r="F1232" s="2" t="str">
        <v>-</v>
      </c>
      <c r="G1232" s="2" t="str">
        <v>-</v>
      </c>
    </row>
    <row r="1233">
      <c r="A1233" s="2" t="str">
        <v>02/05 ПН</v>
      </c>
      <c r="B1233" s="2" t="str">
        <v>01:00</v>
      </c>
      <c r="C1233" s="2" t="str">
        <v>БРАЗИЛИЯ БРАЗИЛИЯ</v>
      </c>
      <c r="D1233" s="2" t="str">
        <v>АЕ Алтос-Фламенго</v>
      </c>
      <c r="E1233" s="2" t="str">
        <v>10.00</v>
      </c>
      <c r="F1233" s="2" t="str">
        <v>5.00</v>
      </c>
      <c r="G1233" s="2" t="str">
        <v>1.25</v>
      </c>
    </row>
    <row r="1234">
      <c r="A1234" s="2" t="str">
        <v>02/05 ПН</v>
      </c>
      <c r="B1234" s="2" t="str">
        <v>01:00</v>
      </c>
      <c r="C1234" s="2" t="str">
        <v>БРАЗИЛИЯ БРАЗИЛИЯ</v>
      </c>
      <c r="D1234" s="2" t="str">
        <v>Крузейро (Ж)-Сан Хосе (Ж)</v>
      </c>
      <c r="E1234" s="2" t="str">
        <v>-</v>
      </c>
      <c r="F1234" s="2" t="str">
        <v>-</v>
      </c>
      <c r="G1234" s="2" t="str">
        <v>-</v>
      </c>
    </row>
    <row r="1235">
      <c r="A1235" s="2" t="str">
        <v>02/05 ПН</v>
      </c>
      <c r="B1235" s="2" t="str">
        <v>22:00</v>
      </c>
      <c r="C1235" s="2" t="str">
        <v>ВЕНГРИЯ ВЕНГРИЯ</v>
      </c>
      <c r="D1235" s="2" t="str">
        <v>Халадаш Сомбатхей-Вашаш</v>
      </c>
      <c r="E1235" s="2" t="str">
        <v>-</v>
      </c>
      <c r="F1235" s="2" t="str">
        <v>-</v>
      </c>
      <c r="G1235" s="2" t="str">
        <v>-</v>
      </c>
    </row>
    <row r="1236">
      <c r="A1236" s="2" t="str">
        <v>02/05 ПН</v>
      </c>
      <c r="B1236" s="2" t="str">
        <v>02:15</v>
      </c>
      <c r="C1236" s="2" t="str">
        <v>ВЕНЕСУЭЛА ВЕНЕСУЭЛА</v>
      </c>
      <c r="D1236" s="2" t="str">
        <v>Португеза-Метрополитанос</v>
      </c>
      <c r="E1236" s="2" t="str">
        <v>-</v>
      </c>
      <c r="F1236" s="2" t="str">
        <v>-</v>
      </c>
      <c r="G1236" s="2" t="str">
        <v>-</v>
      </c>
    </row>
    <row r="1237">
      <c r="A1237" s="2" t="str">
        <v>02/05 ПН</v>
      </c>
      <c r="B1237" s="2" t="str">
        <v>00:00</v>
      </c>
      <c r="C1237" s="2" t="str">
        <v>ВЕНЕСУЭЛА ВЕНЕСУЭЛА</v>
      </c>
      <c r="D1237" s="2" t="str">
        <v>Динамо Пуэрто-Deportivo Nueva Esparta</v>
      </c>
      <c r="E1237" s="2" t="str">
        <v>-</v>
      </c>
      <c r="F1237" s="2" t="str">
        <v>-</v>
      </c>
      <c r="G1237" s="2" t="str">
        <v>-</v>
      </c>
    </row>
    <row r="1238">
      <c r="A1238" s="2" t="str">
        <v>02/05 ПН</v>
      </c>
      <c r="B1238" s="2" t="str">
        <v>00:00</v>
      </c>
      <c r="C1238" s="2" t="str">
        <v>ВЕНЕСУЭЛА ВЕНЕСУЭЛА</v>
      </c>
      <c r="D1238" s="2" t="str">
        <v>Лланерос-Эль-Вигия</v>
      </c>
      <c r="E1238" s="2" t="str">
        <v>-</v>
      </c>
      <c r="F1238" s="2" t="str">
        <v>-</v>
      </c>
      <c r="G1238" s="2" t="str">
        <v>-</v>
      </c>
    </row>
    <row r="1239">
      <c r="A1239" s="2" t="str">
        <v>02/05 ПН</v>
      </c>
      <c r="B1239" s="2" t="str">
        <v>01:00</v>
      </c>
      <c r="C1239" s="2" t="str">
        <v>ВЕНЕСУЭЛА ВЕНЕСУЭЛА</v>
      </c>
      <c r="D1239" s="2" t="str">
        <v>Атлетико Ла Круз-Петаре</v>
      </c>
      <c r="E1239" s="2" t="str">
        <v>-</v>
      </c>
      <c r="F1239" s="2" t="str">
        <v>-</v>
      </c>
      <c r="G1239" s="2" t="str">
        <v>-</v>
      </c>
    </row>
    <row r="1240">
      <c r="A1240" s="2" t="str">
        <v>02/05 ПН</v>
      </c>
      <c r="B1240" s="2" t="str">
        <v>01:00</v>
      </c>
      <c r="C1240" s="2" t="str">
        <v>ВЕНЕСУЭЛА ВЕНЕСУЭЛА</v>
      </c>
      <c r="D1240" s="2" t="str">
        <v>Райо Зулиано-Унион Локаль Андина</v>
      </c>
      <c r="E1240" s="2" t="str">
        <v>-</v>
      </c>
      <c r="F1240" s="2" t="str">
        <v>-</v>
      </c>
      <c r="G1240" s="2" t="str">
        <v>-</v>
      </c>
    </row>
    <row r="1241">
      <c r="A1241" s="2" t="str">
        <v>02/05 ПН</v>
      </c>
      <c r="B1241" s="2" t="str">
        <v>01:00</v>
      </c>
      <c r="C1241" s="2" t="str">
        <v>ВЕНЕСУЭЛА ВЕНЕСУЭЛА</v>
      </c>
      <c r="D1241" s="2" t="str">
        <v>Фундасьон АИФИ-Яракуянос</v>
      </c>
      <c r="E1241" s="2" t="str">
        <v>-</v>
      </c>
      <c r="F1241" s="2" t="str">
        <v>-</v>
      </c>
      <c r="G1241" s="2" t="str">
        <v>-</v>
      </c>
    </row>
    <row r="1242">
      <c r="A1242" s="2" t="str">
        <v>02/05 ПН</v>
      </c>
      <c r="B1242" s="2" t="str">
        <v>19:00</v>
      </c>
      <c r="C1242" s="2" t="str">
        <v>ГАНА ГАНА</v>
      </c>
      <c r="D1242" s="2" t="str">
        <v>Адуана-Медеама</v>
      </c>
      <c r="E1242" s="2" t="str">
        <v>-</v>
      </c>
      <c r="F1242" s="2" t="str">
        <v>-</v>
      </c>
      <c r="G1242" s="2" t="str">
        <v>-</v>
      </c>
    </row>
    <row r="1243">
      <c r="A1243" s="2" t="str">
        <v>02/05 ПН</v>
      </c>
      <c r="B1243" s="2" t="str">
        <v>21:00</v>
      </c>
      <c r="C1243" s="2" t="str">
        <v>ГЕРМАНИЯ ГЕРМАНИЯ</v>
      </c>
      <c r="D1243" s="2" t="str">
        <v>Мангейм-Дуйсбург</v>
      </c>
      <c r="E1243" s="2" t="str">
        <v>1.66</v>
      </c>
      <c r="F1243" s="2" t="str">
        <v>3.50</v>
      </c>
      <c r="G1243" s="2" t="str">
        <v>4.50</v>
      </c>
    </row>
    <row r="1244">
      <c r="A1244" s="2" t="str">
        <v>02/05 ПН</v>
      </c>
      <c r="B1244" s="2" t="str">
        <v>20:30</v>
      </c>
      <c r="C1244" s="2" t="str">
        <v>ГРЕЦИЯ ГРЕЦИЯ</v>
      </c>
      <c r="D1244" s="2" t="str">
        <v>Астерас-Ламия</v>
      </c>
      <c r="E1244" s="2" t="str">
        <v>1.90</v>
      </c>
      <c r="F1244" s="2" t="str">
        <v>3.10</v>
      </c>
      <c r="G1244" s="2" t="str">
        <v>4.75</v>
      </c>
    </row>
    <row r="1245">
      <c r="A1245" s="2" t="str">
        <v>02/05 ПН</v>
      </c>
      <c r="B1245" s="2" t="str">
        <v>20:30</v>
      </c>
      <c r="C1245" s="2" t="str">
        <v>ГРЕЦИЯ ГРЕЦИЯ</v>
      </c>
      <c r="D1245" s="2" t="str">
        <v>Ионикос-Аполлон Смирнис</v>
      </c>
      <c r="E1245" s="2" t="str">
        <v>5.75</v>
      </c>
      <c r="F1245" s="2" t="str">
        <v>3.80</v>
      </c>
      <c r="G1245" s="2" t="str">
        <v>1.57</v>
      </c>
    </row>
    <row r="1246">
      <c r="A1246" s="2" t="str">
        <v>02/05 ПН</v>
      </c>
      <c r="B1246" s="2" t="str">
        <v>21:00</v>
      </c>
      <c r="C1246" s="2" t="str">
        <v>ДАНИЯ ДАНИЯ</v>
      </c>
      <c r="D1246" s="2" t="str">
        <v>Силькеборг-Ольборг</v>
      </c>
      <c r="E1246" s="2" t="str">
        <v>1.95</v>
      </c>
      <c r="F1246" s="2" t="str">
        <v>3.60</v>
      </c>
      <c r="G1246" s="2" t="str">
        <v>3.80</v>
      </c>
    </row>
    <row r="1247">
      <c r="A1247" s="2" t="str">
        <v>02/05 ПН</v>
      </c>
      <c r="B1247" s="2" t="str">
        <v>00:00</v>
      </c>
      <c r="C1247" s="2" t="str">
        <v>ДОМИНИКАНСКАЯ РЕСПУБЛИКА ДОМИНИКАНСКАЯ РЕСПУБЛИКА</v>
      </c>
      <c r="D1247" s="2" t="str">
        <v>Вега Реал-Moca</v>
      </c>
      <c r="E1247" s="2" t="str">
        <v>-</v>
      </c>
      <c r="F1247" s="2" t="str">
        <v>-</v>
      </c>
      <c r="G1247" s="2" t="str">
        <v>-</v>
      </c>
    </row>
    <row r="1248">
      <c r="A1248" s="2" t="str">
        <v>02/05 ПН</v>
      </c>
      <c r="B1248" s="2" t="str">
        <v>21:30</v>
      </c>
      <c r="C1248" s="2" t="str">
        <v>ИЗРАИЛЬ ИЗРАИЛЬ</v>
      </c>
      <c r="D1248" s="2" t="str">
        <v>Хапоэль Тель-Авив-Маккаби Хайфа</v>
      </c>
      <c r="E1248" s="2" t="str">
        <v>5.50</v>
      </c>
      <c r="F1248" s="2" t="str">
        <v>3.75</v>
      </c>
      <c r="G1248" s="2" t="str">
        <v>1.53</v>
      </c>
    </row>
    <row r="1249">
      <c r="A1249" s="2" t="str">
        <v>02/05 ПН</v>
      </c>
      <c r="B1249" s="2" t="str">
        <v>17:00</v>
      </c>
      <c r="C1249" s="2" t="str">
        <v>ИРЛАНДИЯ ИРЛАНДИЯ</v>
      </c>
      <c r="D1249" s="2" t="str">
        <v>Уотерфорд Юнайтед-Атлон</v>
      </c>
      <c r="E1249" s="2" t="str">
        <v>-</v>
      </c>
      <c r="F1249" s="2" t="str">
        <v>-</v>
      </c>
      <c r="G1249" s="2" t="str">
        <v>-</v>
      </c>
    </row>
    <row r="1250">
      <c r="A1250" s="2" t="str">
        <v>02/05 ПН</v>
      </c>
      <c r="B1250" s="2" t="str">
        <v>18:00</v>
      </c>
      <c r="C1250" s="2" t="str">
        <v>ИРЛАНДИЯ ИРЛАНДИЯ</v>
      </c>
      <c r="D1250" s="2" t="str">
        <v>Вексфорд-Брей Уондерерс</v>
      </c>
      <c r="E1250" s="2" t="str">
        <v>-</v>
      </c>
      <c r="F1250" s="2" t="str">
        <v>-</v>
      </c>
      <c r="G1250" s="2" t="str">
        <v>-</v>
      </c>
    </row>
    <row r="1251">
      <c r="A1251" s="2" t="str">
        <v>02/05 ПН</v>
      </c>
      <c r="B1251" s="2" t="str">
        <v>20:00</v>
      </c>
      <c r="C1251" s="2" t="str">
        <v>ИРЛАНДИЯ ИРЛАНДИЯ</v>
      </c>
      <c r="D1251" s="2" t="str">
        <v>Голуэй Юнайтед-Лонгфорд Таун</v>
      </c>
      <c r="E1251" s="2" t="str">
        <v>-</v>
      </c>
      <c r="F1251" s="2" t="str">
        <v>-</v>
      </c>
      <c r="G1251" s="2" t="str">
        <v>-</v>
      </c>
    </row>
    <row r="1252">
      <c r="A1252" s="2" t="str">
        <v>02/05 ПН</v>
      </c>
      <c r="B1252" s="2" t="str">
        <v>20:00</v>
      </c>
      <c r="C1252" s="2" t="str">
        <v>ИРЛАНДИЯ ИРЛАНДИЯ</v>
      </c>
      <c r="D1252" s="2" t="str">
        <v>Корк Сити-Трити Юнайтед</v>
      </c>
      <c r="E1252" s="2" t="str">
        <v>-</v>
      </c>
      <c r="F1252" s="2" t="str">
        <v>-</v>
      </c>
      <c r="G1252" s="2" t="str">
        <v>-</v>
      </c>
    </row>
    <row r="1253">
      <c r="A1253" s="2" t="str">
        <v>02/05 ПН</v>
      </c>
      <c r="B1253" s="2" t="str">
        <v>22:00</v>
      </c>
      <c r="C1253" s="2" t="str">
        <v>ИСЛАНДИЯ ИСЛАНДИЯ</v>
      </c>
      <c r="D1253" s="2" t="str">
        <v>Акурейри-Кеблавик</v>
      </c>
      <c r="E1253" s="2" t="str">
        <v>-</v>
      </c>
      <c r="F1253" s="2" t="str">
        <v>-</v>
      </c>
      <c r="G1253" s="2" t="str">
        <v>-</v>
      </c>
    </row>
    <row r="1254">
      <c r="A1254" s="2" t="str">
        <v>02/05 ПН</v>
      </c>
      <c r="B1254" s="2" t="str">
        <v>23:15</v>
      </c>
      <c r="C1254" s="2" t="str">
        <v>ИСЛАНДИЯ ИСЛАНДИЯ</v>
      </c>
      <c r="D1254" s="2" t="str">
        <v>Викингур Рейкьявик-Стьярнан</v>
      </c>
      <c r="E1254" s="2" t="str">
        <v>-</v>
      </c>
      <c r="F1254" s="2" t="str">
        <v>-</v>
      </c>
      <c r="G1254" s="2" t="str">
        <v>-</v>
      </c>
    </row>
    <row r="1255">
      <c r="A1255" s="2" t="str">
        <v>02/05 ПН</v>
      </c>
      <c r="B1255" s="2" t="str">
        <v>23:15</v>
      </c>
      <c r="C1255" s="2" t="str">
        <v>ИСЛАНДИЯ ИСЛАНДИЯ</v>
      </c>
      <c r="D1255" s="2" t="str">
        <v>Фрам-Акранес</v>
      </c>
      <c r="E1255" s="2" t="str">
        <v>-</v>
      </c>
      <c r="F1255" s="2" t="str">
        <v>-</v>
      </c>
      <c r="G1255" s="2" t="str">
        <v>-</v>
      </c>
    </row>
    <row r="1256">
      <c r="A1256" s="2" t="str">
        <v>02/05 ПН</v>
      </c>
      <c r="B1256" s="2" t="str">
        <v>20:30</v>
      </c>
      <c r="C1256" s="2" t="str">
        <v>ИСПАНИЯ ИСПАНИЯ</v>
      </c>
      <c r="D1256" s="2" t="str">
        <v>Леганес-Уэска</v>
      </c>
      <c r="E1256" s="2" t="str">
        <v>2.30</v>
      </c>
      <c r="F1256" s="2" t="str">
        <v>3.00</v>
      </c>
      <c r="G1256" s="2" t="str">
        <v>3.40</v>
      </c>
    </row>
    <row r="1257">
      <c r="A1257" s="2" t="str">
        <v>02/05 ПН</v>
      </c>
      <c r="B1257" s="2" t="str">
        <v>23:00</v>
      </c>
      <c r="C1257" s="2" t="str">
        <v>ИСПАНИЯ ИСПАНИЯ</v>
      </c>
      <c r="D1257" s="2" t="str">
        <v>Вальядолид-Реал Сосьедад (Б)</v>
      </c>
      <c r="E1257" s="2" t="str">
        <v>1.36</v>
      </c>
      <c r="F1257" s="2" t="str">
        <v>4.75</v>
      </c>
      <c r="G1257" s="2" t="str">
        <v>9.00</v>
      </c>
    </row>
    <row r="1258">
      <c r="A1258" s="2" t="str">
        <v>02/05 ПН</v>
      </c>
      <c r="B1258" s="2" t="str">
        <v>15:00</v>
      </c>
      <c r="C1258" s="2" t="str">
        <v>КАЗАХСТАН КАЗАХСТАН</v>
      </c>
      <c r="D1258" s="2" t="str">
        <v>Шахтер Караганда-Тобол</v>
      </c>
      <c r="E1258" s="2" t="str">
        <v>-</v>
      </c>
      <c r="F1258" s="2" t="str">
        <v>-</v>
      </c>
      <c r="G1258" s="2" t="str">
        <v>-</v>
      </c>
    </row>
    <row r="1259">
      <c r="A1259" s="2" t="str">
        <v>02/05 ПН</v>
      </c>
      <c r="B1259" s="2" t="str">
        <v>16:00</v>
      </c>
      <c r="C1259" s="2" t="str">
        <v>КАЗАХСТАН КАЗАХСТАН</v>
      </c>
      <c r="D1259" s="2" t="str">
        <v>Актобе-Акжайык</v>
      </c>
      <c r="E1259" s="2" t="str">
        <v>-</v>
      </c>
      <c r="F1259" s="2" t="str">
        <v>-</v>
      </c>
      <c r="G1259" s="2" t="str">
        <v>-</v>
      </c>
    </row>
    <row r="1260">
      <c r="A1260" s="2" t="str">
        <v>02/05 ПН</v>
      </c>
      <c r="B1260" s="2" t="str">
        <v>17:00</v>
      </c>
      <c r="C1260" s="2" t="str">
        <v>КАЗАХСТАН КАЗАХСТАН</v>
      </c>
      <c r="D1260" s="2" t="str">
        <v>Кайрат Алматы-Кызылжар</v>
      </c>
      <c r="E1260" s="2" t="str">
        <v>-</v>
      </c>
      <c r="F1260" s="2" t="str">
        <v>-</v>
      </c>
      <c r="G1260" s="2" t="str">
        <v>-</v>
      </c>
    </row>
    <row r="1261">
      <c r="A1261" s="2" t="str">
        <v>02/05 ПН</v>
      </c>
      <c r="B1261" s="2" t="str">
        <v>18:00</v>
      </c>
      <c r="C1261" s="2" t="str">
        <v>КАЗАХСТАН КАЗАХСТАН</v>
      </c>
      <c r="D1261" s="2" t="str">
        <v>Аксу-Каспий Актау</v>
      </c>
      <c r="E1261" s="2" t="str">
        <v>-</v>
      </c>
      <c r="F1261" s="2" t="str">
        <v>-</v>
      </c>
      <c r="G1261" s="2" t="str">
        <v>-</v>
      </c>
    </row>
    <row r="1262">
      <c r="A1262" s="2" t="str">
        <v>02/05 ПН</v>
      </c>
      <c r="B1262" s="2" t="str">
        <v>19:00</v>
      </c>
      <c r="C1262" s="2" t="str">
        <v>КАЗАХСТАН КАЗАХСТАН</v>
      </c>
      <c r="D1262" s="2" t="str">
        <v>Мактаарал-Тараз</v>
      </c>
      <c r="E1262" s="2" t="str">
        <v>-</v>
      </c>
      <c r="F1262" s="2" t="str">
        <v>-</v>
      </c>
      <c r="G1262" s="2" t="str">
        <v>-</v>
      </c>
    </row>
    <row r="1263">
      <c r="A1263" s="2" t="str">
        <v>02/05 ПН</v>
      </c>
      <c r="B1263" s="2" t="str">
        <v>01:30</v>
      </c>
      <c r="C1263" s="2" t="str">
        <v>КАНАДА КАНАДА</v>
      </c>
      <c r="D1263" s="2" t="str">
        <v>Кавалри-ФК Пасифик</v>
      </c>
      <c r="E1263" s="2" t="str">
        <v>-</v>
      </c>
      <c r="F1263" s="2" t="str">
        <v>-</v>
      </c>
      <c r="G1263" s="2" t="str">
        <v>-</v>
      </c>
    </row>
    <row r="1264">
      <c r="A1264" s="2" t="str">
        <v>02/05 ПН</v>
      </c>
      <c r="B1264" s="2" t="str">
        <v>01:05</v>
      </c>
      <c r="C1264" s="2" t="str">
        <v>КОЛУМБИЯ КОЛУМБИЯ</v>
      </c>
      <c r="D1264" s="2" t="str">
        <v>Патриотас-Мильонариос</v>
      </c>
      <c r="E1264" s="2" t="str">
        <v>4.50</v>
      </c>
      <c r="F1264" s="2" t="str">
        <v>3.10</v>
      </c>
      <c r="G1264" s="2" t="str">
        <v>1.95</v>
      </c>
    </row>
    <row r="1265">
      <c r="A1265" s="2" t="str">
        <v>02/05 ПН</v>
      </c>
      <c r="B1265" s="2" t="str">
        <v>05:15</v>
      </c>
      <c r="C1265" s="2" t="str">
        <v>КОЛУМБИЯ КОЛУМБИЯ</v>
      </c>
      <c r="D1265" s="2" t="str">
        <v>Хуниор-Энвигадо</v>
      </c>
      <c r="E1265" s="2" t="str">
        <v>1.50</v>
      </c>
      <c r="F1265" s="2" t="str">
        <v>4.00</v>
      </c>
      <c r="G1265" s="2" t="str">
        <v>7.00</v>
      </c>
    </row>
    <row r="1266">
      <c r="A1266" s="2" t="str">
        <v>02/05 ПН</v>
      </c>
      <c r="B1266" s="2" t="str">
        <v>00:00</v>
      </c>
      <c r="C1266" s="2" t="str">
        <v>КОЛУМБИЯ КОЛУМБИЯ</v>
      </c>
      <c r="D1266" s="2" t="str">
        <v>Толима (Ж)-Реал Сантандер (Ж)</v>
      </c>
      <c r="E1266" s="2" t="str">
        <v>-</v>
      </c>
      <c r="F1266" s="2" t="str">
        <v>-</v>
      </c>
      <c r="G1266" s="2" t="str">
        <v>-</v>
      </c>
    </row>
    <row r="1267">
      <c r="A1267" s="2" t="str">
        <v>02/05 ПН</v>
      </c>
      <c r="B1267" s="2" t="str">
        <v>01:00</v>
      </c>
      <c r="C1267" s="2" t="str">
        <v>КОСТА-РИКА КОСТА-РИКА</v>
      </c>
      <c r="D1267" s="2" t="str">
        <v>Спортинг Сан-Хосе-Гуанакасте</v>
      </c>
      <c r="E1267" s="2" t="str">
        <v>1.55</v>
      </c>
      <c r="F1267" s="2" t="str">
        <v>3.80</v>
      </c>
      <c r="G1267" s="2" t="str">
        <v>5.50</v>
      </c>
    </row>
    <row r="1268">
      <c r="A1268" s="2" t="str">
        <v>02/05 ПН</v>
      </c>
      <c r="B1268" s="2" t="str">
        <v>02:00</v>
      </c>
      <c r="C1268" s="2" t="str">
        <v>КОСТА-РИКА КОСТА-РИКА</v>
      </c>
      <c r="D1268" s="2" t="str">
        <v>Саприсса-Зеледон</v>
      </c>
      <c r="E1268" s="2" t="str">
        <v>1.72</v>
      </c>
      <c r="F1268" s="2" t="str">
        <v>3.40</v>
      </c>
      <c r="G1268" s="2" t="str">
        <v>4.33</v>
      </c>
    </row>
    <row r="1269">
      <c r="A1269" s="2" t="str">
        <v>02/05 ПН</v>
      </c>
      <c r="B1269" s="2" t="str">
        <v>01:00</v>
      </c>
      <c r="C1269" s="2" t="str">
        <v>КОСТА-РИКА КОСТА-РИКА</v>
      </c>
      <c r="D1269" s="2" t="str">
        <v>Кармелита-Либерия</v>
      </c>
      <c r="E1269" s="2" t="str">
        <v>-</v>
      </c>
      <c r="F1269" s="2" t="str">
        <v>-</v>
      </c>
      <c r="G1269" s="2" t="str">
        <v>-</v>
      </c>
    </row>
    <row r="1270">
      <c r="A1270" s="2" t="str">
        <v>02/05 ПН</v>
      </c>
      <c r="B1270" s="2" t="str">
        <v>12:00</v>
      </c>
      <c r="C1270" s="2" t="str">
        <v>КЫРГЫЗСТАН КЫРГЫЗСТАН</v>
      </c>
      <c r="D1270" s="2" t="str">
        <v>Дордой Бишкек-Алай Ош</v>
      </c>
      <c r="E1270" s="2" t="str">
        <v>-</v>
      </c>
      <c r="F1270" s="2" t="str">
        <v>-</v>
      </c>
      <c r="G1270" s="2" t="str">
        <v>-</v>
      </c>
    </row>
    <row r="1271">
      <c r="A1271" s="2" t="str">
        <v>02/05 ПН</v>
      </c>
      <c r="B1271" s="2" t="str">
        <v>12:00</v>
      </c>
      <c r="C1271" s="2" t="str">
        <v>КЫРГЫЗСТАН КЫРГЫЗСТАН</v>
      </c>
      <c r="D1271" s="2" t="str">
        <v>Илбирс-Абдыш-Ата</v>
      </c>
      <c r="E1271" s="2" t="str">
        <v>-</v>
      </c>
      <c r="F1271" s="2" t="str">
        <v>-</v>
      </c>
      <c r="G1271" s="2" t="str">
        <v>-</v>
      </c>
    </row>
    <row r="1272">
      <c r="A1272" s="2" t="str">
        <v>02/05 ПН</v>
      </c>
      <c r="B1272" s="2" t="str">
        <v>12:00</v>
      </c>
      <c r="C1272" s="2" t="str">
        <v>КЫРГЫЗСТАН КЫРГЫЗСТАН</v>
      </c>
      <c r="D1272" s="2" t="str">
        <v>Нефчи Кочкор-Ата-Талант</v>
      </c>
      <c r="E1272" s="2" t="str">
        <v>-</v>
      </c>
      <c r="F1272" s="2" t="str">
        <v>-</v>
      </c>
      <c r="G1272" s="2" t="str">
        <v>-</v>
      </c>
    </row>
    <row r="1273">
      <c r="A1273" s="2" t="str">
        <v>02/05 ПН</v>
      </c>
      <c r="B1273" s="2" t="str">
        <v>18:30</v>
      </c>
      <c r="C1273" s="2" t="str">
        <v>ЛАТВИЯ ЛАТВИЯ</v>
      </c>
      <c r="D1273" s="2" t="str">
        <v>Ауда-Метта/ЛУ</v>
      </c>
      <c r="E1273" s="2" t="str">
        <v>-</v>
      </c>
      <c r="F1273" s="2" t="str">
        <v>-</v>
      </c>
      <c r="G1273" s="2" t="str">
        <v>-</v>
      </c>
    </row>
    <row r="1274">
      <c r="A1274" s="2" t="str">
        <v>02/05 ПН</v>
      </c>
      <c r="B1274" s="2" t="str">
        <v>20:00</v>
      </c>
      <c r="C1274" s="2" t="str">
        <v>ЛАТВИЯ ЛАТВИЯ</v>
      </c>
      <c r="D1274" s="2" t="str">
        <v>Супер Нова-Лиепая</v>
      </c>
      <c r="E1274" s="2" t="str">
        <v>-</v>
      </c>
      <c r="F1274" s="2" t="str">
        <v>-</v>
      </c>
      <c r="G1274" s="2" t="str">
        <v>-</v>
      </c>
    </row>
    <row r="1275">
      <c r="A1275" s="2" t="str">
        <v>02/05 ПН</v>
      </c>
      <c r="B1275" s="2" t="str">
        <v>19:00</v>
      </c>
      <c r="C1275" s="2" t="str">
        <v>ЛИТВА ЛИТВА</v>
      </c>
      <c r="D1275" s="2" t="str">
        <v>Жальгирис 2-Банга 2</v>
      </c>
      <c r="E1275" s="2" t="str">
        <v>-</v>
      </c>
      <c r="F1275" s="2" t="str">
        <v>-</v>
      </c>
      <c r="G1275" s="2" t="str">
        <v>-</v>
      </c>
    </row>
    <row r="1276">
      <c r="A1276" s="2" t="str">
        <v>02/05 ПН</v>
      </c>
      <c r="B1276" s="2" t="str">
        <v>16:30</v>
      </c>
      <c r="C1276" s="2" t="str">
        <v>МАЛАВИ МАЛАВИ</v>
      </c>
      <c r="D1276" s="2" t="str">
        <v>Дедза Динамос-ТН Старс</v>
      </c>
      <c r="E1276" s="2" t="str">
        <v>-</v>
      </c>
      <c r="F1276" s="2" t="str">
        <v>-</v>
      </c>
      <c r="G1276" s="2" t="str">
        <v>-</v>
      </c>
    </row>
    <row r="1277">
      <c r="A1277" s="2" t="str">
        <v>02/05 ПН</v>
      </c>
      <c r="B1277" s="2" t="str">
        <v>01:00</v>
      </c>
      <c r="C1277" s="2" t="str">
        <v>МЕКСИКА МЕКСИКА</v>
      </c>
      <c r="D1277" s="2" t="str">
        <v>Атлетико Сан-Луис-Сантос Лагуна</v>
      </c>
      <c r="E1277" s="2" t="str">
        <v>2.37</v>
      </c>
      <c r="F1277" s="2" t="str">
        <v>3.20</v>
      </c>
      <c r="G1277" s="2" t="str">
        <v>3.10</v>
      </c>
    </row>
    <row r="1278">
      <c r="A1278" s="2" t="str">
        <v>02/05 ПН</v>
      </c>
      <c r="B1278" s="2" t="str">
        <v>05:00</v>
      </c>
      <c r="C1278" s="2" t="str">
        <v>МЕКСИКА МЕКСИКА</v>
      </c>
      <c r="D1278" s="2" t="str">
        <v>Леон-Толука</v>
      </c>
      <c r="E1278" s="2" t="str">
        <v>1.55</v>
      </c>
      <c r="F1278" s="2" t="str">
        <v>4.20</v>
      </c>
      <c r="G1278" s="2" t="str">
        <v>6.00</v>
      </c>
    </row>
    <row r="1279">
      <c r="A1279" s="2" t="str">
        <v>02/05 ПН</v>
      </c>
      <c r="B1279" s="2" t="str">
        <v>01:00</v>
      </c>
      <c r="C1279" s="2" t="str">
        <v>МЕКСИКА МЕКСИКА</v>
      </c>
      <c r="D1279" s="2" t="str">
        <v>Леонес Негрос-Атланте</v>
      </c>
      <c r="E1279" s="2" t="str">
        <v>-</v>
      </c>
      <c r="F1279" s="2" t="str">
        <v>-</v>
      </c>
      <c r="G1279" s="2" t="str">
        <v>-</v>
      </c>
    </row>
    <row r="1280">
      <c r="A1280" s="2" t="str">
        <v>02/05 ПН</v>
      </c>
      <c r="B1280" s="2" t="str">
        <v>03:05</v>
      </c>
      <c r="C1280" s="2" t="str">
        <v>МЕКСИКА МЕКСИКА</v>
      </c>
      <c r="D1280" s="2" t="str">
        <v>Селайа-Канкун</v>
      </c>
      <c r="E1280" s="2" t="str">
        <v>-</v>
      </c>
      <c r="F1280" s="2" t="str">
        <v>-</v>
      </c>
      <c r="G1280" s="2" t="str">
        <v>-</v>
      </c>
    </row>
    <row r="1281">
      <c r="A1281" s="2" t="str">
        <v>02/05 ПН</v>
      </c>
      <c r="B1281" s="2" t="str">
        <v>03:00</v>
      </c>
      <c r="C1281" s="2" t="str">
        <v>МЕКСИКА МЕКСИКА</v>
      </c>
      <c r="D1281" s="2" t="str">
        <v>УАНЛ-Тигрес (Ж)-Америка (Ж)</v>
      </c>
      <c r="E1281" s="2" t="str">
        <v>-</v>
      </c>
      <c r="F1281" s="2" t="str">
        <v>-</v>
      </c>
      <c r="G1281" s="2" t="str">
        <v>-</v>
      </c>
    </row>
    <row r="1282">
      <c r="A1282" s="2" t="str">
        <v>02/05 ПН</v>
      </c>
      <c r="B1282" s="2" t="str">
        <v>21:00</v>
      </c>
      <c r="C1282" s="2" t="str">
        <v>МЕКСИКА МЕКСИКА</v>
      </c>
      <c r="D1282" s="2" t="str">
        <v>Атлас (Ж)-Леон (Ж)</v>
      </c>
      <c r="E1282" s="2" t="str">
        <v>-</v>
      </c>
      <c r="F1282" s="2" t="str">
        <v>-</v>
      </c>
      <c r="G1282" s="2" t="str">
        <v>-</v>
      </c>
    </row>
    <row r="1283">
      <c r="A1283" s="2" t="str">
        <v>02/05 ПН</v>
      </c>
      <c r="B1283" s="2" t="str">
        <v>00:30</v>
      </c>
      <c r="C1283" s="2" t="str">
        <v>МИР МИР</v>
      </c>
      <c r="D1283" s="2" t="str">
        <v>Сальвадор-Панама</v>
      </c>
      <c r="E1283" s="2" t="str">
        <v>-</v>
      </c>
      <c r="F1283" s="2" t="str">
        <v>-</v>
      </c>
      <c r="G1283" s="2" t="str">
        <v>-</v>
      </c>
    </row>
    <row r="1284">
      <c r="A1284" s="2" t="str">
        <v>02/05 ПН</v>
      </c>
      <c r="B1284" s="2" t="str">
        <v>17:00</v>
      </c>
      <c r="C1284" s="2" t="str">
        <v>МИР МИР</v>
      </c>
      <c r="D1284" s="2" t="str">
        <v>Замбия (Ж)-Ботсвана (Ж)</v>
      </c>
      <c r="E1284" s="2" t="str">
        <v>-</v>
      </c>
      <c r="F1284" s="2" t="str">
        <v>-</v>
      </c>
      <c r="G1284" s="2" t="str">
        <v>-</v>
      </c>
    </row>
    <row r="1285">
      <c r="A1285" s="2" t="str">
        <v>02/05 ПН</v>
      </c>
      <c r="B1285" s="2" t="str">
        <v>19:00</v>
      </c>
      <c r="C1285" s="2" t="str">
        <v>НОРВЕГИЯ НОРВЕГИЯ</v>
      </c>
      <c r="D1285" s="2" t="str">
        <v>Флоро-Мольде 2</v>
      </c>
      <c r="E1285" s="2" t="str">
        <v>-</v>
      </c>
      <c r="F1285" s="2" t="str">
        <v>-</v>
      </c>
      <c r="G1285" s="2" t="str">
        <v>-</v>
      </c>
    </row>
    <row r="1286">
      <c r="A1286" s="2" t="str">
        <v>02/05 ПН</v>
      </c>
      <c r="B1286" s="2" t="str">
        <v>21:00</v>
      </c>
      <c r="C1286" s="2" t="str">
        <v>НОРВЕГИЯ НОРВЕГИЯ</v>
      </c>
      <c r="D1286" s="2" t="str">
        <v>Бьярг-Бранн 2</v>
      </c>
      <c r="E1286" s="2" t="str">
        <v>-</v>
      </c>
      <c r="F1286" s="2" t="str">
        <v>-</v>
      </c>
      <c r="G1286" s="2" t="str">
        <v>-</v>
      </c>
    </row>
    <row r="1287">
      <c r="A1287" s="2" t="str">
        <v>02/05 ПН</v>
      </c>
      <c r="B1287" s="2" t="str">
        <v>21:00</v>
      </c>
      <c r="C1287" s="2" t="str">
        <v>НОРВЕГИЯ НОРВЕГИЯ</v>
      </c>
      <c r="D1287" s="2" t="str">
        <v>Викинг 2-Видар</v>
      </c>
      <c r="E1287" s="2" t="str">
        <v>-</v>
      </c>
      <c r="F1287" s="2" t="str">
        <v>-</v>
      </c>
      <c r="G1287" s="2" t="str">
        <v>-</v>
      </c>
    </row>
    <row r="1288">
      <c r="A1288" s="2" t="str">
        <v>02/05 ПН</v>
      </c>
      <c r="B1288" s="2" t="str">
        <v>20:00</v>
      </c>
      <c r="C1288" s="2" t="str">
        <v>НОРВЕГИЯ НОРВЕГИЯ</v>
      </c>
      <c r="D1288" s="2" t="str">
        <v>Старт 2-Randesund</v>
      </c>
      <c r="E1288" s="2" t="str">
        <v>-</v>
      </c>
      <c r="F1288" s="2" t="str">
        <v>-</v>
      </c>
      <c r="G1288" s="2" t="str">
        <v>-</v>
      </c>
    </row>
    <row r="1289">
      <c r="A1289" s="2" t="str">
        <v>02/05 ПН</v>
      </c>
      <c r="B1289" s="2" t="str">
        <v>21:00</v>
      </c>
      <c r="C1289" s="2" t="str">
        <v>НОРВЕГИЯ НОРВЕГИЯ</v>
      </c>
      <c r="D1289" s="2" t="str">
        <v>Мьёндален 2-Лиллестрём 2</v>
      </c>
      <c r="E1289" s="2" t="str">
        <v>-</v>
      </c>
      <c r="F1289" s="2" t="str">
        <v>-</v>
      </c>
      <c r="G1289" s="2" t="str">
        <v>-</v>
      </c>
    </row>
    <row r="1290">
      <c r="A1290" s="2" t="str">
        <v>02/05 ПН</v>
      </c>
      <c r="B1290" s="2" t="str">
        <v>03:05</v>
      </c>
      <c r="C1290" s="2" t="str">
        <v>ПАНАМА ПАНАМА</v>
      </c>
      <c r="D1290" s="2" t="str">
        <v>Чирики-Эррера</v>
      </c>
      <c r="E1290" s="2" t="str">
        <v>-</v>
      </c>
      <c r="F1290" s="2" t="str">
        <v>-</v>
      </c>
      <c r="G1290" s="2" t="str">
        <v>-</v>
      </c>
    </row>
    <row r="1291">
      <c r="A1291" s="2" t="str">
        <v>02/05 ПН</v>
      </c>
      <c r="B1291" s="2" t="str">
        <v>01:00</v>
      </c>
      <c r="C1291" s="2" t="str">
        <v>ПАРАГВАЙ ПАРАГВАЙ</v>
      </c>
      <c r="D1291" s="2" t="str">
        <v>Соль де Америка-Гуарани</v>
      </c>
      <c r="E1291" s="2" t="str">
        <v>3.00</v>
      </c>
      <c r="F1291" s="2" t="str">
        <v>3.10</v>
      </c>
      <c r="G1291" s="2" t="str">
        <v>2.25</v>
      </c>
    </row>
    <row r="1292">
      <c r="A1292" s="2" t="str">
        <v>02/05 ПН</v>
      </c>
      <c r="B1292" s="2" t="str">
        <v>03:15</v>
      </c>
      <c r="C1292" s="2" t="str">
        <v>ПАРАГВАЙ ПАРАГВАЙ</v>
      </c>
      <c r="D1292" s="2" t="str">
        <v>Олимпия Асунсьон-Гуаренья</v>
      </c>
      <c r="E1292" s="2" t="str">
        <v>1.70</v>
      </c>
      <c r="F1292" s="2" t="str">
        <v>3.50</v>
      </c>
      <c r="G1292" s="2" t="str">
        <v>4.50</v>
      </c>
    </row>
    <row r="1293">
      <c r="A1293" s="2" t="str">
        <v>02/05 ПН</v>
      </c>
      <c r="B1293" s="2" t="str">
        <v>23:00</v>
      </c>
      <c r="C1293" s="2" t="str">
        <v>ПАРАГВАЙ ПАРАГВАЙ</v>
      </c>
      <c r="D1293" s="2" t="str">
        <v>2 де Майо-3 де Фебреро</v>
      </c>
      <c r="E1293" s="2" t="str">
        <v>-</v>
      </c>
      <c r="F1293" s="2" t="str">
        <v>-</v>
      </c>
      <c r="G1293" s="2" t="str">
        <v>-</v>
      </c>
    </row>
    <row r="1294">
      <c r="A1294" s="2" t="str">
        <v>02/05 ПН</v>
      </c>
      <c r="B1294" s="2" t="str">
        <v>00:30</v>
      </c>
      <c r="C1294" s="2" t="str">
        <v>ПЕРУ ПЕРУ</v>
      </c>
      <c r="D1294" s="2" t="str">
        <v>Альянса Лима-Карлос Стейн</v>
      </c>
      <c r="E1294" s="2" t="str">
        <v>1.36</v>
      </c>
      <c r="F1294" s="2" t="str">
        <v>5.00</v>
      </c>
      <c r="G1294" s="2" t="str">
        <v>9.50</v>
      </c>
    </row>
    <row r="1295">
      <c r="A1295" s="2" t="str">
        <v>02/05 ПН</v>
      </c>
      <c r="B1295" s="2" t="str">
        <v>03:00</v>
      </c>
      <c r="C1295" s="2" t="str">
        <v>ПЕРУ ПЕРУ</v>
      </c>
      <c r="D1295" s="2" t="str">
        <v>Спорт Уанкайо-Сесар Вальехо</v>
      </c>
      <c r="E1295" s="2" t="str">
        <v>1.90</v>
      </c>
      <c r="F1295" s="2" t="str">
        <v>3.25</v>
      </c>
      <c r="G1295" s="2" t="str">
        <v>4.50</v>
      </c>
    </row>
    <row r="1296">
      <c r="A1296" s="2" t="str">
        <v>02/05 ПН</v>
      </c>
      <c r="B1296" s="2" t="str">
        <v>22:15</v>
      </c>
      <c r="C1296" s="2" t="str">
        <v>ПЕРУ ПЕРУ</v>
      </c>
      <c r="D1296" s="2" t="str">
        <v>Кантолао-Спорт Бойз</v>
      </c>
      <c r="E1296" s="2" t="str">
        <v>3.10</v>
      </c>
      <c r="F1296" s="2" t="str">
        <v>3.40</v>
      </c>
      <c r="G1296" s="2" t="str">
        <v>2.37</v>
      </c>
    </row>
    <row r="1297">
      <c r="A1297" s="2" t="str">
        <v>02/05 ПН</v>
      </c>
      <c r="B1297" s="2" t="str">
        <v>00:00</v>
      </c>
      <c r="C1297" s="2" t="str">
        <v>ПЕРУ ПЕРУ</v>
      </c>
      <c r="D1297" s="2" t="str">
        <v>Альфонсо Угарте-Чавелинес</v>
      </c>
      <c r="E1297" s="2" t="str">
        <v>-</v>
      </c>
      <c r="F1297" s="2" t="str">
        <v>-</v>
      </c>
      <c r="G1297" s="2" t="str">
        <v>-</v>
      </c>
    </row>
    <row r="1298">
      <c r="A1298" s="2" t="str">
        <v>02/05 ПН</v>
      </c>
      <c r="B1298" s="2" t="str">
        <v>00:00</v>
      </c>
      <c r="C1298" s="2" t="str">
        <v>ПЕРУ ПЕРУ</v>
      </c>
      <c r="D1298" s="2" t="str">
        <v>Альянса Уануко-Сантос</v>
      </c>
      <c r="E1298" s="2" t="str">
        <v>-</v>
      </c>
      <c r="F1298" s="2" t="str">
        <v>-</v>
      </c>
      <c r="G1298" s="2" t="str">
        <v>-</v>
      </c>
    </row>
    <row r="1299">
      <c r="A1299" s="2" t="str">
        <v>02/05 ПН</v>
      </c>
      <c r="B1299" s="2" t="str">
        <v>00:30</v>
      </c>
      <c r="C1299" s="2" t="str">
        <v>ПЕРУ ПЕРУ</v>
      </c>
      <c r="D1299" s="2" t="str">
        <v>Хуан Аурич-Депортиво Коопсоль</v>
      </c>
      <c r="E1299" s="2" t="str">
        <v>-</v>
      </c>
      <c r="F1299" s="2" t="str">
        <v>-</v>
      </c>
      <c r="G1299" s="2" t="str">
        <v>-</v>
      </c>
    </row>
    <row r="1300" xml:space="preserve">
      <c r="A1300" s="2" t="str">
        <v>02/05 ПН</v>
      </c>
      <c r="B1300" s="2" t="str" xml:space="preserve">
        <v xml:space="preserve">00:00_x000d_
TKP</v>
      </c>
      <c r="C1300" s="2" t="str">
        <v>ПЕРУ ПЕРУ</v>
      </c>
      <c r="D1300" s="2" t="str">
        <v>Университарио (Ж)-Депортиво Мунисипаль (Ж)</v>
      </c>
      <c r="E1300" s="2" t="str">
        <v>-</v>
      </c>
      <c r="F1300" s="2" t="str">
        <v>-</v>
      </c>
      <c r="G1300" s="2" t="str">
        <v>-</v>
      </c>
    </row>
    <row r="1301" xml:space="preserve">
      <c r="A1301" s="2" t="str">
        <v>02/05 ПН</v>
      </c>
      <c r="B1301" s="2" t="str" xml:space="preserve">
        <v xml:space="preserve">00:30_x000d_
TKP</v>
      </c>
      <c r="C1301" s="2" t="str">
        <v>ПЕРУ ПЕРУ</v>
      </c>
      <c r="D1301" s="2" t="str">
        <v>УТК (Ж)-Универсидад Сан Мартин (Ж)</v>
      </c>
      <c r="E1301" s="2" t="str">
        <v>-</v>
      </c>
      <c r="F1301" s="2" t="str">
        <v>-</v>
      </c>
      <c r="G1301" s="2" t="str">
        <v>-</v>
      </c>
    </row>
    <row r="1302">
      <c r="A1302" s="2" t="str">
        <v>02/05 ПН</v>
      </c>
      <c r="B1302" s="2" t="str">
        <v>14:40</v>
      </c>
      <c r="C1302" s="2" t="str">
        <v>ПОЛЬША ПОЛЬША</v>
      </c>
      <c r="D1302" s="2" t="str">
        <v>Сандецья-Стомиль Ольштын</v>
      </c>
      <c r="E1302" s="2" t="str">
        <v>1.65</v>
      </c>
      <c r="F1302" s="2" t="str">
        <v>3.40</v>
      </c>
      <c r="G1302" s="2" t="str">
        <v>4.75</v>
      </c>
    </row>
    <row r="1303">
      <c r="A1303" s="2" t="str">
        <v>02/05 ПН</v>
      </c>
      <c r="B1303" s="2" t="str">
        <v>22:00</v>
      </c>
      <c r="C1303" s="2" t="str">
        <v>ПОЛЬША ПОЛЬША</v>
      </c>
      <c r="D1303" s="2" t="str">
        <v>Скра-Тыхы 71</v>
      </c>
      <c r="E1303" s="2" t="str">
        <v>-</v>
      </c>
      <c r="F1303" s="2" t="str">
        <v>-</v>
      </c>
      <c r="G1303" s="2" t="str">
        <v>-</v>
      </c>
    </row>
    <row r="1304">
      <c r="A1304" s="2" t="str">
        <v>02/05 ПН</v>
      </c>
      <c r="B1304" s="2" t="str">
        <v>18:00</v>
      </c>
      <c r="C1304" s="2" t="str">
        <v>ПОЛЬША ПОЛЬША</v>
      </c>
      <c r="D1304" s="2" t="str">
        <v>Лех-Ракув</v>
      </c>
      <c r="E1304" s="2" t="str">
        <v>-</v>
      </c>
      <c r="F1304" s="2" t="str">
        <v>-</v>
      </c>
      <c r="G1304" s="2" t="str">
        <v>-</v>
      </c>
    </row>
    <row r="1305">
      <c r="A1305" s="2" t="str">
        <v>02/05 ПН</v>
      </c>
      <c r="B1305" s="2" t="str">
        <v>23:15</v>
      </c>
      <c r="C1305" s="2" t="str">
        <v>ПОРТУГАЛИЯ ПОРТУГАЛИЯ</v>
      </c>
      <c r="D1305" s="2" t="str">
        <v>Пасуш де Феррейра-Тондела</v>
      </c>
      <c r="E1305" s="2" t="str">
        <v>2.20</v>
      </c>
      <c r="F1305" s="2" t="str">
        <v>3.30</v>
      </c>
      <c r="G1305" s="2" t="str">
        <v>3.30</v>
      </c>
    </row>
    <row r="1306">
      <c r="A1306" s="2" t="str">
        <v>02/05 ПН</v>
      </c>
      <c r="B1306" s="2" t="str">
        <v>18:30</v>
      </c>
      <c r="C1306" s="2" t="str">
        <v>РУМЫНИЯ РУМЫНИЯ</v>
      </c>
      <c r="D1306" s="2" t="str">
        <v>Мьовени-Ботошани</v>
      </c>
      <c r="E1306" s="2" t="str">
        <v>2.20</v>
      </c>
      <c r="F1306" s="2" t="str">
        <v>2.80</v>
      </c>
      <c r="G1306" s="2" t="str">
        <v>3.25</v>
      </c>
    </row>
    <row r="1307">
      <c r="A1307" s="2" t="str">
        <v>02/05 ПН</v>
      </c>
      <c r="B1307" s="2" t="str">
        <v>21:30</v>
      </c>
      <c r="C1307" s="2" t="str">
        <v>РУМЫНИЯ РУМЫНИЯ</v>
      </c>
      <c r="D1307" s="2" t="str">
        <v>Стяуа-Арджеш</v>
      </c>
      <c r="E1307" s="2" t="str">
        <v>1.28</v>
      </c>
      <c r="F1307" s="2" t="str">
        <v>4.50</v>
      </c>
      <c r="G1307" s="2" t="str">
        <v>8.50</v>
      </c>
    </row>
    <row r="1308">
      <c r="A1308" s="2" t="str">
        <v>02/05 ПН</v>
      </c>
      <c r="B1308" s="2" t="str">
        <v>01:00</v>
      </c>
      <c r="C1308" s="2" t="str">
        <v>САЛЬВАДОР САЛЬВАДОР</v>
      </c>
      <c r="D1308" s="2" t="str">
        <v>Атлетико Марте-Альянса</v>
      </c>
      <c r="E1308" s="2" t="str">
        <v>-</v>
      </c>
      <c r="F1308" s="2" t="str">
        <v>-</v>
      </c>
      <c r="G1308" s="2" t="str">
        <v>-</v>
      </c>
    </row>
    <row r="1309">
      <c r="A1309" s="2" t="str">
        <v>02/05 ПН</v>
      </c>
      <c r="B1309" s="2" t="str">
        <v>01:00</v>
      </c>
      <c r="C1309" s="2" t="str">
        <v>САЛЬВАДОР САЛЬВАДОР</v>
      </c>
      <c r="D1309" s="2" t="str">
        <v>Мунисипал Лименью-Исидро Метапан</v>
      </c>
      <c r="E1309" s="2" t="str">
        <v>-</v>
      </c>
      <c r="F1309" s="2" t="str">
        <v>-</v>
      </c>
      <c r="G1309" s="2" t="str">
        <v>-</v>
      </c>
    </row>
    <row r="1310">
      <c r="A1310" s="2" t="str">
        <v>02/05 ПН</v>
      </c>
      <c r="B1310" s="2" t="str">
        <v>01:15</v>
      </c>
      <c r="C1310" s="2" t="str">
        <v>САЛЬВАДОР САЛЬВАДОР</v>
      </c>
      <c r="D1310" s="2" t="str">
        <v>ФАС-Луис Анхель Фирпо</v>
      </c>
      <c r="E1310" s="2" t="str">
        <v>-</v>
      </c>
      <c r="F1310" s="2" t="str">
        <v>-</v>
      </c>
      <c r="G1310" s="2" t="str">
        <v>-</v>
      </c>
    </row>
    <row r="1311">
      <c r="A1311" s="2" t="str">
        <v>02/05 ПН</v>
      </c>
      <c r="B1311" s="2" t="str">
        <v>02:30</v>
      </c>
      <c r="C1311" s="2" t="str">
        <v>САЛЬВАДОР САЛЬВАДОР</v>
      </c>
      <c r="D1311" s="2" t="str">
        <v>Санта-Текла-Чалатенанго</v>
      </c>
      <c r="E1311" s="2" t="str">
        <v>-</v>
      </c>
      <c r="F1311" s="2" t="str">
        <v>-</v>
      </c>
      <c r="G1311" s="2" t="str">
        <v>-</v>
      </c>
    </row>
    <row r="1312">
      <c r="A1312" s="2" t="str">
        <v>02/05 ПН</v>
      </c>
      <c r="B1312" s="2" t="str">
        <v>00:00</v>
      </c>
      <c r="C1312" s="2" t="str">
        <v>СЕВЕРНАЯ И ЦЕНТРАЛЬНАЯ АМЕРИКА СЕВЕРНАЯ И ЦЕНТРАЛЬНАЯ АМЕРИКА</v>
      </c>
      <c r="D1312" s="2" t="str">
        <v>Канада U17 (Ж)-Гондурас U17 (Ж)</v>
      </c>
      <c r="E1312" s="2" t="str">
        <v>-</v>
      </c>
      <c r="F1312" s="2" t="str">
        <v>-</v>
      </c>
      <c r="G1312" s="2" t="str">
        <v>-</v>
      </c>
    </row>
    <row r="1313">
      <c r="A1313" s="2" t="str">
        <v>02/05 ПН</v>
      </c>
      <c r="B1313" s="2" t="str">
        <v>00:00</v>
      </c>
      <c r="C1313" s="2" t="str">
        <v>СЕВЕРНАЯ И ЦЕНТРАЛЬНАЯ АМЕРИКА СЕВЕРНАЯ И ЦЕНТРАЛЬНАЯ АМЕРИКА</v>
      </c>
      <c r="D1313" s="2" t="str">
        <v>Сальвадор U17 (Ж)-Сент-Китс и Невис U17 (Ж)</v>
      </c>
      <c r="E1313" s="2" t="str">
        <v>-</v>
      </c>
      <c r="F1313" s="2" t="str">
        <v>-</v>
      </c>
      <c r="G1313" s="2" t="str">
        <v>-</v>
      </c>
    </row>
    <row r="1314">
      <c r="A1314" s="2" t="str">
        <v>02/05 ПН</v>
      </c>
      <c r="B1314" s="2" t="str">
        <v>03:00</v>
      </c>
      <c r="C1314" s="2" t="str">
        <v>СЕВЕРНАЯ И ЦЕНТРАЛЬНАЯ АМЕРИКА СЕВЕРНАЯ И ЦЕНТРАЛЬНАЯ АМЕРИКА</v>
      </c>
      <c r="D1314" s="2" t="str">
        <v>Гаити U17 (Ж)-Доминиканская Республика U17 (Ж)</v>
      </c>
      <c r="E1314" s="2" t="str">
        <v>-</v>
      </c>
      <c r="F1314" s="2" t="str">
        <v>-</v>
      </c>
      <c r="G1314" s="2" t="str">
        <v>-</v>
      </c>
    </row>
    <row r="1315">
      <c r="A1315" s="2" t="str">
        <v>02/05 ПН</v>
      </c>
      <c r="B1315" s="2" t="str">
        <v>03:00</v>
      </c>
      <c r="C1315" s="2" t="str">
        <v>СЕВЕРНАЯ И ЦЕНТРАЛЬНАЯ АМЕРИКА СЕВЕРНАЯ И ЦЕНТРАЛЬНАЯ АМЕРИКА</v>
      </c>
      <c r="D1315" s="2" t="str">
        <v>Ямайка U17 (Ж)-Куба U17 (Ж)</v>
      </c>
      <c r="E1315" s="2" t="str">
        <v>-</v>
      </c>
      <c r="F1315" s="2" t="str">
        <v>-</v>
      </c>
      <c r="G1315" s="2" t="str">
        <v>-</v>
      </c>
    </row>
    <row r="1316">
      <c r="A1316" s="2" t="str">
        <v>02/05 ПН</v>
      </c>
      <c r="B1316" s="2" t="str">
        <v>17:00</v>
      </c>
      <c r="C1316" s="2" t="str">
        <v>СЕРБИЯ СЕРБИЯ</v>
      </c>
      <c r="D1316" s="2" t="str">
        <v>Радник-Спартак Субботица</v>
      </c>
      <c r="E1316" s="2" t="str">
        <v>-</v>
      </c>
      <c r="F1316" s="2" t="str">
        <v>-</v>
      </c>
      <c r="G1316" s="2" t="str">
        <v>-</v>
      </c>
    </row>
    <row r="1317">
      <c r="A1317" s="2" t="str">
        <v>02/05 ПН</v>
      </c>
      <c r="B1317" s="2" t="str">
        <v>19:05</v>
      </c>
      <c r="C1317" s="2" t="str">
        <v>СЕРБИЯ СЕРБИЯ</v>
      </c>
      <c r="D1317" s="2" t="str">
        <v>Пролетер-Металац</v>
      </c>
      <c r="E1317" s="2" t="str">
        <v>-</v>
      </c>
      <c r="F1317" s="2" t="str">
        <v>-</v>
      </c>
      <c r="G1317" s="2" t="str">
        <v>-</v>
      </c>
    </row>
    <row r="1318">
      <c r="A1318" s="2" t="str">
        <v>02/05 ПН</v>
      </c>
      <c r="B1318" s="2" t="str">
        <v>20:30</v>
      </c>
      <c r="C1318" s="2" t="str">
        <v>СЕРБИЯ СЕРБИЯ</v>
      </c>
      <c r="D1318" s="2" t="str">
        <v>Чукарички-Раднички Ниш</v>
      </c>
      <c r="E1318" s="2" t="str">
        <v>-</v>
      </c>
      <c r="F1318" s="2" t="str">
        <v>-</v>
      </c>
      <c r="G1318" s="2" t="str">
        <v>-</v>
      </c>
    </row>
    <row r="1319">
      <c r="A1319" s="2" t="str">
        <v>02/05 ПН</v>
      </c>
      <c r="B1319" s="2" t="str">
        <v>18:00</v>
      </c>
      <c r="C1319" s="2" t="str">
        <v>СЕРБИЯ СЕРБИЯ</v>
      </c>
      <c r="D1319" s="2" t="str">
        <v>Будучность Добановичи-Графичар Белград</v>
      </c>
      <c r="E1319" s="2" t="str">
        <v>-</v>
      </c>
      <c r="F1319" s="2" t="str">
        <v>-</v>
      </c>
      <c r="G1319" s="2" t="str">
        <v>-</v>
      </c>
    </row>
    <row r="1320">
      <c r="A1320" s="2" t="str">
        <v>02/05 ПН</v>
      </c>
      <c r="B1320" s="2" t="str">
        <v>18:00</v>
      </c>
      <c r="C1320" s="2" t="str">
        <v>СЕРБИЯ СЕРБИЯ</v>
      </c>
      <c r="D1320" s="2" t="str">
        <v>Кабель Нови-Сад-Златибор</v>
      </c>
      <c r="E1320" s="2" t="str">
        <v>-</v>
      </c>
      <c r="F1320" s="2" t="str">
        <v>-</v>
      </c>
      <c r="G1320" s="2" t="str">
        <v>-</v>
      </c>
    </row>
    <row r="1321">
      <c r="A1321" s="2" t="str">
        <v>02/05 ПН</v>
      </c>
      <c r="B1321" s="2" t="str">
        <v>18:00</v>
      </c>
      <c r="C1321" s="2" t="str">
        <v>СЕРБИЯ СЕРБИЯ</v>
      </c>
      <c r="D1321" s="2" t="str">
        <v>Жарково-Инджия</v>
      </c>
      <c r="E1321" s="2" t="str">
        <v>-</v>
      </c>
      <c r="F1321" s="2" t="str">
        <v>-</v>
      </c>
      <c r="G1321" s="2" t="str">
        <v>-</v>
      </c>
    </row>
    <row r="1322">
      <c r="A1322" s="2" t="str">
        <v>02/05 ПН</v>
      </c>
      <c r="B1322" s="2" t="str">
        <v>18:00</v>
      </c>
      <c r="C1322" s="2" t="str">
        <v>СЕРБИЯ СЕРБИЯ</v>
      </c>
      <c r="D1322" s="2" t="str">
        <v>Железничар Панчево-Сремска-Митровица</v>
      </c>
      <c r="E1322" s="2" t="str">
        <v>-</v>
      </c>
      <c r="F1322" s="2" t="str">
        <v>-</v>
      </c>
      <c r="G1322" s="2" t="str">
        <v>-</v>
      </c>
    </row>
    <row r="1323">
      <c r="A1323" s="2" t="str">
        <v>02/05 ПН</v>
      </c>
      <c r="B1323" s="2" t="str">
        <v>18:00</v>
      </c>
      <c r="C1323" s="2" t="str">
        <v>СЕРБИЯ СЕРБИЯ</v>
      </c>
      <c r="D1323" s="2" t="str">
        <v>Лозница-Младость ГАТ</v>
      </c>
      <c r="E1323" s="2" t="str">
        <v>-</v>
      </c>
      <c r="F1323" s="2" t="str">
        <v>-</v>
      </c>
      <c r="G1323" s="2" t="str">
        <v>-</v>
      </c>
    </row>
    <row r="1324">
      <c r="A1324" s="2" t="str">
        <v>02/05 ПН</v>
      </c>
      <c r="B1324" s="2" t="str">
        <v>20:00</v>
      </c>
      <c r="C1324" s="2" t="str">
        <v>СЕРБИЯ СЕРБИЯ</v>
      </c>
      <c r="D1324" s="2" t="str">
        <v>Явор Иваница-Нови Белград</v>
      </c>
      <c r="E1324" s="2" t="str">
        <v>-</v>
      </c>
      <c r="F1324" s="2" t="str">
        <v>-</v>
      </c>
      <c r="G1324" s="2" t="str">
        <v>-</v>
      </c>
    </row>
    <row r="1325" xml:space="preserve">
      <c r="A1325" s="2" t="str">
        <v>02/05 ПН</v>
      </c>
      <c r="B1325" s="2" t="str" xml:space="preserve">
        <v xml:space="preserve">13:00_x000d_
TKP</v>
      </c>
      <c r="C1325" s="2" t="str">
        <v>СЕРБИЯ СЕРБИЯ</v>
      </c>
      <c r="D1325" s="2" t="str">
        <v>Раднички Белград-Звездара</v>
      </c>
      <c r="E1325" s="2" t="str">
        <v>-</v>
      </c>
      <c r="F1325" s="2" t="str">
        <v>-</v>
      </c>
      <c r="G1325" s="2" t="str">
        <v>-</v>
      </c>
    </row>
    <row r="1326">
      <c r="A1326" s="2" t="str">
        <v>02/05 ПН</v>
      </c>
      <c r="B1326" s="2" t="str">
        <v>00:00</v>
      </c>
      <c r="C1326" s="2" t="str">
        <v>США США</v>
      </c>
      <c r="D1326" s="2" t="str">
        <v>Нэшвилл-Филадельфия Юнион</v>
      </c>
      <c r="E1326" s="2" t="str">
        <v>2.20</v>
      </c>
      <c r="F1326" s="2" t="str">
        <v>3.00</v>
      </c>
      <c r="G1326" s="2" t="str">
        <v>3.75</v>
      </c>
    </row>
    <row r="1327">
      <c r="A1327" s="2" t="str">
        <v>02/05 ПН</v>
      </c>
      <c r="B1327" s="2" t="str">
        <v>06:00</v>
      </c>
      <c r="C1327" s="2" t="str">
        <v>США США</v>
      </c>
      <c r="D1327" s="2" t="str">
        <v>Лос-Анджелес ФК-Миннесота</v>
      </c>
      <c r="E1327" s="2" t="str">
        <v>1.50</v>
      </c>
      <c r="F1327" s="2" t="str">
        <v>4.33</v>
      </c>
      <c r="G1327" s="2" t="str">
        <v>6.50</v>
      </c>
    </row>
    <row r="1328">
      <c r="A1328" s="2" t="str">
        <v>02/05 ПН</v>
      </c>
      <c r="B1328" s="2" t="str">
        <v>04:00</v>
      </c>
      <c r="C1328" s="2" t="str">
        <v>США США</v>
      </c>
      <c r="D1328" s="2" t="str">
        <v>Лос-Анджелес Галакси 2-Финикс Райзинг</v>
      </c>
      <c r="E1328" s="2" t="str">
        <v>-</v>
      </c>
      <c r="F1328" s="2" t="str">
        <v>-</v>
      </c>
      <c r="G1328" s="2" t="str">
        <v>-</v>
      </c>
    </row>
    <row r="1329">
      <c r="A1329" s="2" t="str">
        <v>02/05 ПН</v>
      </c>
      <c r="B1329" s="2" t="str">
        <v>02:00</v>
      </c>
      <c r="C1329" s="2" t="str">
        <v>США США</v>
      </c>
      <c r="D1329" s="2" t="str">
        <v>Такома Дефинс-Хьюстон Динамо 2</v>
      </c>
      <c r="E1329" s="2" t="str">
        <v>-</v>
      </c>
      <c r="F1329" s="2" t="str">
        <v>-</v>
      </c>
      <c r="G1329" s="2" t="str">
        <v>-</v>
      </c>
    </row>
    <row r="1330">
      <c r="A1330" s="2" t="str">
        <v>02/05 ПН</v>
      </c>
      <c r="B1330" s="2" t="str">
        <v>04:00</v>
      </c>
      <c r="C1330" s="2" t="str">
        <v>США США</v>
      </c>
      <c r="D1330" s="2" t="str">
        <v>Спортинг Канзас-Сити II-Северный Техас</v>
      </c>
      <c r="E1330" s="2" t="str">
        <v>-</v>
      </c>
      <c r="F1330" s="2" t="str">
        <v>-</v>
      </c>
      <c r="G1330" s="2" t="str">
        <v>-</v>
      </c>
    </row>
    <row r="1331" xml:space="preserve">
      <c r="A1331" s="2" t="str">
        <v>02/05 ПН</v>
      </c>
      <c r="B1331" s="2" t="str" xml:space="preserve">
        <v xml:space="preserve">03:30_x000d_
TKP</v>
      </c>
      <c r="C1331" s="2" t="str">
        <v>США США</v>
      </c>
      <c r="D1331" s="2" t="str">
        <v>Северная Вирджиния-Commonwealth Cardinals</v>
      </c>
      <c r="E1331" s="2" t="str">
        <v>-</v>
      </c>
      <c r="F1331" s="2" t="str">
        <v>-</v>
      </c>
      <c r="G1331" s="2" t="str">
        <v>-</v>
      </c>
    </row>
    <row r="1332">
      <c r="A1332" s="2" t="str">
        <v>02/05 ПН</v>
      </c>
      <c r="B1332" s="2" t="str">
        <v>03:00</v>
      </c>
      <c r="C1332" s="2" t="str">
        <v>США США</v>
      </c>
      <c r="D1332" s="2" t="str">
        <v>Syracuse Pulse-Калифорния Юнайтед</v>
      </c>
      <c r="E1332" s="2" t="str">
        <v>-</v>
      </c>
      <c r="F1332" s="2" t="str">
        <v>-</v>
      </c>
      <c r="G1332" s="2" t="str">
        <v>-</v>
      </c>
    </row>
    <row r="1333">
      <c r="A1333" s="2" t="str">
        <v>02/05 ПН</v>
      </c>
      <c r="B1333" s="2" t="str">
        <v>01:00</v>
      </c>
      <c r="C1333" s="2" t="str">
        <v>США США</v>
      </c>
      <c r="D1333" s="2" t="str">
        <v>Вашингтон Спирит (Ж)-Рейн (Ж)</v>
      </c>
      <c r="E1333" s="2" t="str">
        <v>-</v>
      </c>
      <c r="F1333" s="2" t="str">
        <v>-</v>
      </c>
      <c r="G1333" s="2" t="str">
        <v>-</v>
      </c>
    </row>
    <row r="1334">
      <c r="A1334" s="2" t="str">
        <v>02/05 ПН</v>
      </c>
      <c r="B1334" s="2" t="str">
        <v>03:00</v>
      </c>
      <c r="C1334" s="2" t="str">
        <v>США США</v>
      </c>
      <c r="D1334" s="2" t="str">
        <v>Орландо Прайд (Ж)-Готэм (Ж)</v>
      </c>
      <c r="E1334" s="2" t="str">
        <v>-</v>
      </c>
      <c r="F1334" s="2" t="str">
        <v>-</v>
      </c>
      <c r="G1334" s="2" t="str">
        <v>-</v>
      </c>
    </row>
    <row r="1335">
      <c r="A1335" s="2" t="str">
        <v>02/05 ПН</v>
      </c>
      <c r="B1335" s="2" t="str">
        <v>03:00</v>
      </c>
      <c r="C1335" s="2" t="str">
        <v>США США</v>
      </c>
      <c r="D1335" s="2" t="str">
        <v>Хьюстон Дэш (Ж)-San Diego Wave (Ж)</v>
      </c>
      <c r="E1335" s="2" t="str">
        <v>-</v>
      </c>
      <c r="F1335" s="2" t="str">
        <v>-</v>
      </c>
      <c r="G1335" s="2" t="str">
        <v>-</v>
      </c>
    </row>
    <row r="1336">
      <c r="A1336" s="2" t="str">
        <v>02/05 ПН</v>
      </c>
      <c r="B1336" s="2" t="str">
        <v>17:00</v>
      </c>
      <c r="C1336" s="2" t="str">
        <v>ТАНЗАНИЯ ТАНЗАНИЯ</v>
      </c>
      <c r="D1336" s="2" t="str">
        <v>Бишара Мара Юнайтед-Мтибва Шугар</v>
      </c>
      <c r="E1336" s="2" t="str">
        <v>-</v>
      </c>
      <c r="F1336" s="2" t="str">
        <v>-</v>
      </c>
      <c r="G1336" s="2" t="str">
        <v>-</v>
      </c>
    </row>
    <row r="1337">
      <c r="A1337" s="2" t="str">
        <v>02/05 ПН</v>
      </c>
      <c r="B1337" s="2" t="str">
        <v>17:00</v>
      </c>
      <c r="C1337" s="2" t="str">
        <v>УГАНДА УГАНДА</v>
      </c>
      <c r="D1337" s="2" t="str">
        <v>Бусога-Вакисо Джайентс</v>
      </c>
      <c r="E1337" s="2" t="str">
        <v>-</v>
      </c>
      <c r="F1337" s="2" t="str">
        <v>-</v>
      </c>
      <c r="G1337" s="2" t="str">
        <v>-</v>
      </c>
    </row>
    <row r="1338">
      <c r="A1338" s="2" t="str">
        <v>02/05 ПН</v>
      </c>
      <c r="B1338" s="2" t="str">
        <v>17:00</v>
      </c>
      <c r="C1338" s="2" t="str">
        <v>УГАНДА УГАНДА</v>
      </c>
      <c r="D1338" s="2" t="str">
        <v>Полис-Вилла</v>
      </c>
      <c r="E1338" s="2" t="str">
        <v>-</v>
      </c>
      <c r="F1338" s="2" t="str">
        <v>-</v>
      </c>
      <c r="G1338" s="2" t="str">
        <v>-</v>
      </c>
    </row>
    <row r="1339">
      <c r="A1339" s="2" t="str">
        <v>02/05 ПН</v>
      </c>
      <c r="B1339" s="2" t="str">
        <v>17:30</v>
      </c>
      <c r="C1339" s="2" t="str">
        <v>УЗБЕКИСТАН УЗБЕКИСТАН</v>
      </c>
      <c r="D1339" s="2" t="str">
        <v>Коканд 1912-Насаф</v>
      </c>
      <c r="E1339" s="2" t="str">
        <v>-</v>
      </c>
      <c r="F1339" s="2" t="str">
        <v>-</v>
      </c>
      <c r="G1339" s="2" t="str">
        <v>-</v>
      </c>
    </row>
    <row r="1340">
      <c r="A1340" s="2" t="str">
        <v>02/05 ПН</v>
      </c>
      <c r="B1340" s="2" t="str">
        <v>17:30</v>
      </c>
      <c r="C1340" s="2" t="str">
        <v>УЗБЕКИСТАН УЗБЕКИСТАН</v>
      </c>
      <c r="D1340" s="2" t="str">
        <v>Пахтакор-АГМК</v>
      </c>
      <c r="E1340" s="2" t="str">
        <v>-</v>
      </c>
      <c r="F1340" s="2" t="str">
        <v>-</v>
      </c>
      <c r="G1340" s="2" t="str">
        <v>-</v>
      </c>
    </row>
    <row r="1341">
      <c r="A1341" s="2" t="str">
        <v>02/05 ПН</v>
      </c>
      <c r="B1341" s="2" t="str">
        <v>12:00</v>
      </c>
      <c r="C1341" s="2" t="str">
        <v>ФИЛИППИНЫ ФИЛИППИНЫ</v>
      </c>
      <c r="D1341" s="2" t="str">
        <v>Сталлион-Кая</v>
      </c>
      <c r="E1341" s="2" t="str">
        <v>-</v>
      </c>
      <c r="F1341" s="2" t="str">
        <v>-</v>
      </c>
      <c r="G1341" s="2" t="str">
        <v>-</v>
      </c>
    </row>
    <row r="1342">
      <c r="A1342" s="2" t="str">
        <v>02/05 ПН</v>
      </c>
      <c r="B1342" s="2" t="str">
        <v>15:15</v>
      </c>
      <c r="C1342" s="2" t="str">
        <v>ФИЛИППИНЫ ФИЛИППИНЫ</v>
      </c>
      <c r="D1342" s="2" t="str">
        <v>Cebu FC-Мендиола 1991</v>
      </c>
      <c r="E1342" s="2" t="str">
        <v>-</v>
      </c>
      <c r="F1342" s="2" t="str">
        <v>-</v>
      </c>
      <c r="G1342" s="2" t="str">
        <v>-</v>
      </c>
    </row>
    <row r="1343">
      <c r="A1343" s="2" t="str">
        <v>02/05 ПН</v>
      </c>
      <c r="B1343" s="2" t="str">
        <v>20:45</v>
      </c>
      <c r="C1343" s="2" t="str">
        <v>ФИНЛЯНДИЯ ФИНЛЯНДИЯ</v>
      </c>
      <c r="D1343" s="2" t="str">
        <v>Turku II-Палло-Ирот</v>
      </c>
      <c r="E1343" s="2" t="str">
        <v>-</v>
      </c>
      <c r="F1343" s="2" t="str">
        <v>-</v>
      </c>
      <c r="G1343" s="2" t="str">
        <v>-</v>
      </c>
    </row>
    <row r="1344">
      <c r="A1344" s="2" t="str">
        <v>02/05 ПН</v>
      </c>
      <c r="B1344" s="2" t="str">
        <v>22:45</v>
      </c>
      <c r="C1344" s="2" t="str">
        <v>ФРАНЦИЯ ФРАНЦИЯ</v>
      </c>
      <c r="D1344" s="2" t="str">
        <v>Родез-Тулуза</v>
      </c>
      <c r="E1344" s="2" t="str">
        <v>4.75</v>
      </c>
      <c r="F1344" s="2" t="str">
        <v>3.30</v>
      </c>
      <c r="G1344" s="2" t="str">
        <v>1.66</v>
      </c>
    </row>
    <row r="1345">
      <c r="A1345" s="2" t="str">
        <v>02/05 ПН</v>
      </c>
      <c r="B1345" s="2" t="str">
        <v>20:45</v>
      </c>
      <c r="C1345" s="2" t="str">
        <v>ФРАНЦИЯ ФРАНЦИЯ</v>
      </c>
      <c r="D1345" s="2" t="str">
        <v>Шамбли-Лаваль</v>
      </c>
      <c r="E1345" s="2" t="str">
        <v>-</v>
      </c>
      <c r="F1345" s="2" t="str">
        <v>-</v>
      </c>
      <c r="G1345" s="2" t="str">
        <v>-</v>
      </c>
    </row>
    <row r="1346">
      <c r="A1346" s="2" t="str">
        <v>02/05 ПН</v>
      </c>
      <c r="B1346" s="2" t="str">
        <v>19:00</v>
      </c>
      <c r="C1346" s="2" t="str">
        <v>ХОРВАТИЯ ХОРВАТИЯ</v>
      </c>
      <c r="D1346" s="2" t="str">
        <v>Динамо Загреб 2-Дубрава</v>
      </c>
      <c r="E1346" s="2" t="str">
        <v>-</v>
      </c>
      <c r="F1346" s="2" t="str">
        <v>-</v>
      </c>
      <c r="G1346" s="2" t="str">
        <v>-</v>
      </c>
    </row>
    <row r="1347">
      <c r="A1347" s="2" t="str">
        <v>02/05 ПН</v>
      </c>
      <c r="B1347" s="2" t="str">
        <v>19:00</v>
      </c>
      <c r="C1347" s="2" t="str">
        <v>ХОРВАТИЯ ХОРВАТИЯ</v>
      </c>
      <c r="D1347" s="2" t="str">
        <v>Осиек 2-Запрешич</v>
      </c>
      <c r="E1347" s="2" t="str">
        <v>-</v>
      </c>
      <c r="F1347" s="2" t="str">
        <v>-</v>
      </c>
      <c r="G1347" s="2" t="str">
        <v>-</v>
      </c>
    </row>
    <row r="1348">
      <c r="A1348" s="2" t="str">
        <v>02/05 ПН</v>
      </c>
      <c r="B1348" s="2" t="str">
        <v>21:00</v>
      </c>
      <c r="C1348" s="2" t="str">
        <v>ШВЕЦИЯ ШВЕЦИЯ</v>
      </c>
      <c r="D1348" s="2" t="str">
        <v>Гётеборг-Кальмар</v>
      </c>
      <c r="E1348" s="2" t="str">
        <v>2.25</v>
      </c>
      <c r="F1348" s="2" t="str">
        <v>3.25</v>
      </c>
      <c r="G1348" s="2" t="str">
        <v>3.30</v>
      </c>
    </row>
    <row r="1349">
      <c r="A1349" s="2" t="str">
        <v>02/05 ПН</v>
      </c>
      <c r="B1349" s="2" t="str">
        <v>21:00</v>
      </c>
      <c r="C1349" s="2" t="str">
        <v>ШВЕЦИЯ ШВЕЦИЯ</v>
      </c>
      <c r="D1349" s="2" t="str">
        <v>Норрчепинг-Вернаму</v>
      </c>
      <c r="E1349" s="2" t="str">
        <v>1.61</v>
      </c>
      <c r="F1349" s="2" t="str">
        <v>3.80</v>
      </c>
      <c r="G1349" s="2" t="str">
        <v>5.75</v>
      </c>
    </row>
    <row r="1350">
      <c r="A1350" s="2" t="str">
        <v>02/05 ПН</v>
      </c>
      <c r="B1350" s="2" t="str">
        <v>21:10</v>
      </c>
      <c r="C1350" s="2" t="str">
        <v>ШВЕЦИЯ ШВЕЦИЯ</v>
      </c>
      <c r="D1350" s="2" t="str">
        <v>Хаммарбю-Мальмё</v>
      </c>
      <c r="E1350" s="2" t="str">
        <v>2.40</v>
      </c>
      <c r="F1350" s="2" t="str">
        <v>3.40</v>
      </c>
      <c r="G1350" s="2" t="str">
        <v>2.90</v>
      </c>
    </row>
    <row r="1351">
      <c r="A1351" s="2" t="str">
        <v>02/05 ПН</v>
      </c>
      <c r="B1351" s="2" t="str">
        <v>21:00</v>
      </c>
      <c r="C1351" s="2" t="str">
        <v>ШВЕЦИЯ ШВЕЦИЯ</v>
      </c>
      <c r="D1351" s="2" t="str">
        <v>Далкурд-Эстер</v>
      </c>
      <c r="E1351" s="2" t="str">
        <v>3.60</v>
      </c>
      <c r="F1351" s="2" t="str">
        <v>3.25</v>
      </c>
      <c r="G1351" s="2" t="str">
        <v>2.15</v>
      </c>
    </row>
    <row r="1352">
      <c r="A1352" s="2" t="str">
        <v>02/05 ПН</v>
      </c>
      <c r="B1352" s="2" t="str">
        <v>21:00</v>
      </c>
      <c r="C1352" s="2" t="str">
        <v>ШВЕЦИЯ ШВЕЦИЯ</v>
      </c>
      <c r="D1352" s="2" t="str">
        <v>Норрби-Ландскруна</v>
      </c>
      <c r="E1352" s="2" t="str">
        <v>1.60</v>
      </c>
      <c r="F1352" s="2" t="str">
        <v>3.80</v>
      </c>
      <c r="G1352" s="2" t="str">
        <v>6.00</v>
      </c>
    </row>
    <row r="1353">
      <c r="A1353" s="2" t="str">
        <v>02/05 ПН</v>
      </c>
      <c r="B1353" s="2" t="str">
        <v>21:00</v>
      </c>
      <c r="C1353" s="2" t="str">
        <v>ШВЕЦИЯ ШВЕЦИЯ</v>
      </c>
      <c r="D1353" s="2" t="str">
        <v>Тролльхеттан-Фалькенберг</v>
      </c>
      <c r="E1353" s="2" t="str">
        <v>-</v>
      </c>
      <c r="F1353" s="2" t="str">
        <v>-</v>
      </c>
      <c r="G1353" s="2" t="str">
        <v>-</v>
      </c>
    </row>
    <row r="1354">
      <c r="A1354" s="2" t="str">
        <v>02/05 ПН</v>
      </c>
      <c r="B1354" s="2" t="str">
        <v>21:00</v>
      </c>
      <c r="C1354" s="2" t="str">
        <v>ШВЕЦИЯ ШВЕЦИЯ</v>
      </c>
      <c r="D1354" s="2" t="str">
        <v>Линкепингс (Ж)-Эребру (Ж)</v>
      </c>
      <c r="E1354" s="2" t="str">
        <v>-</v>
      </c>
      <c r="F1354" s="2" t="str">
        <v>-</v>
      </c>
      <c r="G1354" s="2" t="str">
        <v>-</v>
      </c>
    </row>
    <row r="1355">
      <c r="A1355" s="2" t="str">
        <v>02/05 ПН</v>
      </c>
      <c r="B1355" s="2" t="str">
        <v>01:30</v>
      </c>
      <c r="C1355" s="2" t="str">
        <v>ЭКВАДОР ЭКВАДОР</v>
      </c>
      <c r="D1355" s="2" t="str">
        <v>Кумбайя-Депортиво Куэнка</v>
      </c>
      <c r="E1355" s="2" t="str">
        <v>2.60</v>
      </c>
      <c r="F1355" s="2" t="str">
        <v>3.10</v>
      </c>
      <c r="G1355" s="2" t="str">
        <v>2.90</v>
      </c>
    </row>
    <row r="1356">
      <c r="A1356" s="2" t="str">
        <v>02/05 ПН</v>
      </c>
      <c r="B1356" s="2" t="str">
        <v>04:00</v>
      </c>
      <c r="C1356" s="2" t="str">
        <v>ЭКВАДОР ЭКВАДОР</v>
      </c>
      <c r="D1356" s="2" t="str">
        <v>Индепендьенте дель Валье-ЛДУ Кито</v>
      </c>
      <c r="E1356" s="2" t="str">
        <v>1.75</v>
      </c>
      <c r="F1356" s="2" t="str">
        <v>3.75</v>
      </c>
      <c r="G1356" s="2" t="str">
        <v>4.75</v>
      </c>
    </row>
    <row r="1357">
      <c r="A1357" s="2" t="str">
        <v>02/05 ПН</v>
      </c>
      <c r="B1357" s="2" t="str">
        <v>20:00</v>
      </c>
      <c r="C1357" s="2" t="str">
        <v>ЭСТОНИЯ ЭСТОНИЯ</v>
      </c>
      <c r="D1357" s="2" t="str">
        <v>Пайде U21-Виймси</v>
      </c>
      <c r="E1357" s="2" t="str">
        <v>-</v>
      </c>
      <c r="F1357" s="2" t="str">
        <v>-</v>
      </c>
      <c r="G1357" s="2" t="str">
        <v>-</v>
      </c>
    </row>
    <row r="1358">
      <c r="A1358" s="2" t="str">
        <v>02/05 ПН</v>
      </c>
      <c r="B1358" s="2" t="str">
        <v>20:00</v>
      </c>
      <c r="C1358" s="2" t="str">
        <v>ЭСТОНИЯ ЭСТОНИЯ</v>
      </c>
      <c r="D1358" s="2" t="str">
        <v>Флора U21-Харью Ялгпаликооли</v>
      </c>
      <c r="E1358" s="2" t="str">
        <v>-</v>
      </c>
      <c r="F1358" s="2" t="str">
        <v>-</v>
      </c>
      <c r="G1358" s="2" t="str">
        <v>-</v>
      </c>
    </row>
    <row r="1359">
      <c r="A1359" s="2" t="str">
        <v>02/05 ПН</v>
      </c>
      <c r="B1359" s="2" t="str">
        <v>20:00</v>
      </c>
      <c r="C1359" s="2" t="str">
        <v>ЭСТОНИЯ ЭСТОНИЯ</v>
      </c>
      <c r="D1359" s="2" t="str">
        <v>Элва-ФК Альянс</v>
      </c>
      <c r="E1359" s="2" t="str">
        <v>-</v>
      </c>
      <c r="F1359" s="2" t="str">
        <v>-</v>
      </c>
      <c r="G1359" s="2" t="str">
        <v>-</v>
      </c>
    </row>
    <row r="1360">
      <c r="A1360" s="2" t="str">
        <v>02/05 ПН</v>
      </c>
      <c r="B1360" s="2" t="str">
        <v>16:00</v>
      </c>
      <c r="C1360" s="2" t="str">
        <v>ЭФИОПИЯ ЭФИОПИЯ</v>
      </c>
      <c r="D1360" s="2" t="str">
        <v>Addis Ababa Ketema-Хоссана Сити</v>
      </c>
      <c r="E1360" s="2" t="str">
        <v>-</v>
      </c>
      <c r="F1360" s="2" t="str">
        <v>-</v>
      </c>
      <c r="G1360" s="2" t="str">
        <v>-</v>
      </c>
    </row>
    <row r="1361">
      <c r="A1361" s="2" t="str">
        <v>02/05 ПН</v>
      </c>
      <c r="B1361" s="2" t="str">
        <v>19:00</v>
      </c>
      <c r="C1361" s="2" t="str">
        <v>ЭФИОПИЯ ЭФИОПИЯ</v>
      </c>
      <c r="D1361" s="2" t="str">
        <v>Fasil Kenema-Велайта Дича</v>
      </c>
      <c r="E1361" s="2" t="str">
        <v>-</v>
      </c>
      <c r="F1361" s="2" t="str">
        <v>-</v>
      </c>
      <c r="G1361" s="2" t="str">
        <v>-</v>
      </c>
    </row>
    <row r="1362">
      <c r="A1362" s="2" t="str">
        <v>02/05 ПН</v>
      </c>
      <c r="B1362" s="2" t="str">
        <v>17:00</v>
      </c>
      <c r="C1362" s="2" t="str">
        <v>ЮЖНАЯ АФРИКА ЮЖНАЯ АФРИКА</v>
      </c>
      <c r="D1362" s="2" t="str">
        <v>ТС Гэлакси-Орландо Пайратс</v>
      </c>
      <c r="E1362" s="2" t="str">
        <v>-</v>
      </c>
      <c r="F1362" s="2" t="str">
        <v>-</v>
      </c>
      <c r="G1362" s="2" t="str">
        <v>-</v>
      </c>
    </row>
    <row r="1363">
      <c r="A1363" s="2" t="str">
        <v>02/05 ПН</v>
      </c>
      <c r="B1363" s="2" t="str">
        <v>00:00</v>
      </c>
      <c r="C1363" s="2" t="str">
        <v>ЯМАЙКА ЯМАЙКА</v>
      </c>
      <c r="D1363" s="2" t="str">
        <v>Маунт Плезант-Данбихолден</v>
      </c>
      <c r="E1363" s="2" t="str">
        <v>-</v>
      </c>
      <c r="F1363" s="2" t="str">
        <v>-</v>
      </c>
      <c r="G1363" s="2" t="str">
        <v>-</v>
      </c>
    </row>
    <row r="1364">
      <c r="A1364" s="2" t="str">
        <v>02/05 ПН</v>
      </c>
      <c r="B1364" s="2" t="str">
        <v>00:00</v>
      </c>
      <c r="C1364" s="2" t="str">
        <v>ЯМАЙКА ЯМАЙКА</v>
      </c>
      <c r="D1364" s="2" t="str">
        <v>Уэре Юнайтед-Арнетт Гарденс</v>
      </c>
      <c r="E1364" s="2" t="str">
        <v>-</v>
      </c>
      <c r="F1364" s="2" t="str">
        <v>-</v>
      </c>
      <c r="G1364" s="2" t="str">
        <v>-</v>
      </c>
    </row>
    <row r="1365">
      <c r="A1365" s="2" t="str">
        <v>02/05 ПН</v>
      </c>
      <c r="B1365" s="2" t="str">
        <v>00:00</v>
      </c>
      <c r="C1365" s="2" t="str">
        <v>ЯМАЙКА ЯМАЙКА</v>
      </c>
      <c r="D1365" s="2" t="str">
        <v>Хамбл Лайонс-Портмор</v>
      </c>
      <c r="E1365" s="2" t="str">
        <v>-</v>
      </c>
      <c r="F1365" s="2" t="str">
        <v>-</v>
      </c>
      <c r="G1365" s="2" t="str">
        <v>-</v>
      </c>
    </row>
  </sheetData>
  <pageMargins left="0.7" right="0.7" top="0.75" bottom="0.75" header="0.3" footer="0.3"/>
  <ignoredErrors>
    <ignoredError numberStoredAsText="1" sqref="A1:G136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rightToLeft="0"/>
  </sheetViews>
  <sheetData/>
  <pageMargins left="0.7" right="0.7" top="0.75" bottom="0.75" header="0.3" footer="0.3"/>
  <ignoredErrors>
    <ignoredError numberStoredAsText="1" sqref="A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1365"/>
  <sheetViews>
    <sheetView workbookViewId="0" rightToLeft="0"/>
  </sheetViews>
  <cols>
    <col min="1" max="1" width="13.83203125" customWidth="1"/>
    <col min="2" max="2" width="19.83203125" customWidth="1"/>
    <col min="3" max="3" width="66.83203125" customWidth="1"/>
    <col min="4" max="4" width="51.83203125" customWidth="1"/>
    <col min="5" max="5" width="10.83203125" customWidth="1"/>
    <col min="6" max="6" width="9.83203125" customWidth="1"/>
    <col min="7" max="7" width="10.83203125" customWidth="1"/>
  </cols>
  <sheetData>
    <row r="1">
      <c r="A1" s="2" t="str">
        <v>day</v>
      </c>
      <c r="B1" s="2" t="str">
        <v>Time</v>
      </c>
      <c r="C1" s="2" t="str">
        <v>Ligue</v>
      </c>
      <c r="D1" s="2" t="str">
        <v>Game</v>
      </c>
      <c r="E1" s="2" t="str">
        <v>P1</v>
      </c>
      <c r="F1" s="2" t="str">
        <v>X</v>
      </c>
      <c r="G1" s="2" t="str">
        <v>P2</v>
      </c>
      <c r="H1" s="2" t="str">
        <v>X1</v>
      </c>
      <c r="I1" s="2" t="str">
        <v>A12</v>
      </c>
      <c r="J1" s="2" t="str">
        <v>X2</v>
      </c>
    </row>
    <row r="2">
      <c r="A2" s="2" t="str">
        <v>01/05 ВС</v>
      </c>
      <c r="B2" s="2" t="str">
        <v>17:00</v>
      </c>
      <c r="C2" s="2" t="str">
        <v>АНГЛИЯ АНГЛИЯ</v>
      </c>
      <c r="D2" s="2" t="str">
        <v>Тоттенхэм-Лестер</v>
      </c>
      <c r="E2" s="3">
        <f>1.40</f>
      </c>
      <c r="F2" s="3">
        <f>5.00</f>
      </c>
      <c r="G2" s="3">
        <f>8.00</f>
      </c>
      <c r="H2" s="3">
        <f>=ROUND((1000/((1000/E2) + (1000/f2))),2)</f>
      </c>
      <c r="I2" s="3">
        <f>=ROUND((1000/((1000/E2) + (1000/G2))),2)</f>
      </c>
      <c r="J2" s="3">
        <f>=ROUND((1000/((1000/F2) + (1000/G2))),2)</f>
      </c>
    </row>
    <row r="3">
      <c r="A3" s="2" t="str">
        <v>01/05 ВС</v>
      </c>
      <c r="B3" s="2" t="str">
        <v>17:00</v>
      </c>
      <c r="C3" s="2" t="str">
        <v>АНГЛИЯ АНГЛИЯ</v>
      </c>
      <c r="D3" s="2" t="str">
        <v>Эвертон-Челси</v>
      </c>
      <c r="E3" s="3">
        <f>5.25</f>
      </c>
      <c r="F3" s="3">
        <f>3.75</f>
      </c>
      <c r="G3" s="3">
        <f>1.70</f>
      </c>
      <c r="H3" s="3">
        <f>=ROUND((1000/((1000/E3) + (1000/f3))),2)</f>
      </c>
      <c r="I3" s="3">
        <f>=ROUND((1000/((1000/E3) + (1000/G3))),2)</f>
      </c>
      <c r="J3" s="3">
        <f>=ROUND((1000/((1000/F3) + (1000/G3))),2)</f>
      </c>
    </row>
    <row r="4">
      <c r="A4" s="2" t="str">
        <v>01/05 ВС</v>
      </c>
      <c r="B4" s="2" t="str">
        <v>19:30</v>
      </c>
      <c r="C4" s="2" t="str">
        <v>АНГЛИЯ АНГЛИЯ</v>
      </c>
      <c r="D4" s="2" t="str">
        <v>Вест Хэм-Арсенал</v>
      </c>
      <c r="E4" s="3">
        <f>4.33</f>
      </c>
      <c r="F4" s="3">
        <f>3.80</f>
      </c>
      <c r="G4" s="3">
        <f>1.80</f>
      </c>
      <c r="H4" s="3">
        <f>=ROUND((1000/((1000/E4) + (1000/f4))),2)</f>
      </c>
      <c r="I4" s="3">
        <f>=ROUND((1000/((1000/E4) + (1000/G4))),2)</f>
      </c>
      <c r="J4" s="3">
        <f>=ROUND((1000/((1000/F4) + (1000/G4))),2)</f>
      </c>
    </row>
    <row r="5">
      <c r="A5" s="2" t="str">
        <v>01/05 ВС</v>
      </c>
      <c r="B5" s="2" t="str">
        <v>16:00</v>
      </c>
      <c r="C5" s="2" t="str">
        <v>ИСПАНИЯ ИСПАНИЯ</v>
      </c>
      <c r="D5" s="2" t="str">
        <v>Эльче-Осасуна</v>
      </c>
      <c r="E5" s="3">
        <f>2.80</f>
      </c>
      <c r="F5" s="3">
        <f>3.20</f>
      </c>
      <c r="G5" s="3">
        <f>2.70</f>
      </c>
      <c r="H5" s="3">
        <f>=ROUND((1000/((1000/E5) + (1000/f5))),2)</f>
      </c>
      <c r="I5" s="3">
        <f>=ROUND((1000/((1000/E5) + (1000/G5))),2)</f>
      </c>
      <c r="J5" s="3">
        <f>=ROUND((1000/((1000/F5) + (1000/G5))),2)</f>
      </c>
    </row>
    <row r="6">
      <c r="A6" s="2" t="str">
        <v>01/05 ВС</v>
      </c>
      <c r="B6" s="2" t="str">
        <v>18:15</v>
      </c>
      <c r="C6" s="2" t="str">
        <v>ИСПАНИЯ ИСПАНИЯ</v>
      </c>
      <c r="D6" s="2" t="str">
        <v>Гранада-Сельта</v>
      </c>
      <c r="E6" s="3">
        <f>2.80</f>
      </c>
      <c r="F6" s="3">
        <f>3.20</f>
      </c>
      <c r="G6" s="3">
        <f>2.62</f>
      </c>
      <c r="H6" s="3">
        <f>=ROUND((1000/((1000/E6) + (1000/f6))),2)</f>
      </c>
      <c r="I6" s="3">
        <f>=ROUND((1000/((1000/E6) + (1000/G6))),2)</f>
      </c>
      <c r="J6" s="3">
        <f>=ROUND((1000/((1000/F6) + (1000/G6))),2)</f>
      </c>
    </row>
    <row r="7">
      <c r="A7" s="2" t="str">
        <v>01/05 ВС</v>
      </c>
      <c r="B7" s="2" t="str">
        <v>20:30</v>
      </c>
      <c r="C7" s="2" t="str">
        <v>ИСПАНИЯ ИСПАНИЯ</v>
      </c>
      <c r="D7" s="2" t="str">
        <v>Райо Вальекано-Реал Сосьедад</v>
      </c>
      <c r="E7" s="3">
        <f>3.40</f>
      </c>
      <c r="F7" s="3">
        <f>3.10</f>
      </c>
      <c r="G7" s="3">
        <f>2.30</f>
      </c>
      <c r="H7" s="3">
        <f>=ROUND((1000/((1000/E7) + (1000/f7))),2)</f>
      </c>
      <c r="I7" s="3">
        <f>=ROUND((1000/((1000/E7) + (1000/G7))),2)</f>
      </c>
      <c r="J7" s="3">
        <f>=ROUND((1000/((1000/F7) + (1000/G7))),2)</f>
      </c>
    </row>
    <row r="8">
      <c r="A8" s="2" t="str">
        <v>01/05 ВС</v>
      </c>
      <c r="B8" s="2" t="str">
        <v>23:00</v>
      </c>
      <c r="C8" s="2" t="str">
        <v>ИСПАНИЯ ИСПАНИЯ</v>
      </c>
      <c r="D8" s="2" t="str">
        <v>Барселона-Мальорка</v>
      </c>
      <c r="E8" s="3">
        <f>1.28</f>
      </c>
      <c r="F8" s="3">
        <f>5.75</f>
      </c>
      <c r="G8" s="3">
        <f>9.50</f>
      </c>
      <c r="H8" s="3">
        <f>=ROUND((1000/((1000/E8) + (1000/f8))),2)</f>
      </c>
      <c r="I8" s="3">
        <f>=ROUND((1000/((1000/E8) + (1000/G8))),2)</f>
      </c>
      <c r="J8" s="3">
        <f>=ROUND((1000/((1000/F8) + (1000/G8))),2)</f>
      </c>
    </row>
    <row r="9">
      <c r="A9" s="2" t="str">
        <v>01/05 ВС</v>
      </c>
      <c r="B9" s="2" t="str">
        <v>14:30</v>
      </c>
      <c r="C9" s="2" t="str">
        <v>ИТАЛИЯ ИТАЛИЯ</v>
      </c>
      <c r="D9" s="2" t="str">
        <v>Ювентус-Венеция</v>
      </c>
      <c r="E9" s="3">
        <f>1.20</f>
      </c>
      <c r="F9" s="3">
        <f>6.50</f>
      </c>
      <c r="G9" s="3">
        <f>15.00</f>
      </c>
      <c r="H9" s="3">
        <f>=ROUND((1000/((1000/E9) + (1000/f9))),2)</f>
      </c>
      <c r="I9" s="3">
        <f>=ROUND((1000/((1000/E9) + (1000/G9))),2)</f>
      </c>
      <c r="J9" s="3">
        <f>=ROUND((1000/((1000/F9) + (1000/G9))),2)</f>
      </c>
    </row>
    <row r="10">
      <c r="A10" s="2" t="str">
        <v>01/05 ВС</v>
      </c>
      <c r="B10" s="2" t="str">
        <v>17:00</v>
      </c>
      <c r="C10" s="2" t="str">
        <v>ИТАЛИЯ ИТАЛИЯ</v>
      </c>
      <c r="D10" s="2" t="str">
        <v>Милан-Фиорентина</v>
      </c>
      <c r="E10" s="3">
        <f>1.61</f>
      </c>
      <c r="F10" s="3">
        <f>4.00</f>
      </c>
      <c r="G10" s="3">
        <f>5.50</f>
      </c>
      <c r="H10" s="3">
        <f>=ROUND((1000/((1000/E10) + (1000/f10))),2)</f>
      </c>
      <c r="I10" s="3">
        <f>=ROUND((1000/((1000/E10) + (1000/G10))),2)</f>
      </c>
      <c r="J10" s="3">
        <f>=ROUND((1000/((1000/F10) + (1000/G10))),2)</f>
      </c>
    </row>
    <row r="11">
      <c r="A11" s="2" t="str">
        <v>01/05 ВС</v>
      </c>
      <c r="B11" s="2" t="str">
        <v>17:00</v>
      </c>
      <c r="C11" s="2" t="str">
        <v>ИТАЛИЯ ИТАЛИЯ</v>
      </c>
      <c r="D11" s="2" t="str">
        <v>Эмполи-Торино</v>
      </c>
      <c r="E11" s="3">
        <f>2.75</f>
      </c>
      <c r="F11" s="3">
        <f>3.40</f>
      </c>
      <c r="G11" s="3">
        <f>2.55</f>
      </c>
      <c r="H11" s="3">
        <f>=ROUND((1000/((1000/E11) + (1000/f11))),2)</f>
      </c>
      <c r="I11" s="3">
        <f>=ROUND((1000/((1000/E11) + (1000/G11))),2)</f>
      </c>
      <c r="J11" s="3">
        <f>=ROUND((1000/((1000/F11) + (1000/G11))),2)</f>
      </c>
    </row>
    <row r="12">
      <c r="A12" s="2" t="str">
        <v>01/05 ВС</v>
      </c>
      <c r="B12" s="2" t="str">
        <v>20:00</v>
      </c>
      <c r="C12" s="2" t="str">
        <v>ИТАЛИЯ ИТАЛИЯ</v>
      </c>
      <c r="D12" s="2" t="str">
        <v>Удинезе-Интер</v>
      </c>
      <c r="E12" s="3">
        <f>6.00</f>
      </c>
      <c r="F12" s="3">
        <f>4.20</f>
      </c>
      <c r="G12" s="3">
        <f>1.55</f>
      </c>
      <c r="H12" s="3">
        <f>=ROUND((1000/((1000/E12) + (1000/f12))),2)</f>
      </c>
      <c r="I12" s="3">
        <f>=ROUND((1000/((1000/E12) + (1000/G12))),2)</f>
      </c>
      <c r="J12" s="3">
        <f>=ROUND((1000/((1000/F12) + (1000/G12))),2)</f>
      </c>
    </row>
    <row r="13">
      <c r="A13" s="2" t="str">
        <v>01/05 ВС</v>
      </c>
      <c r="B13" s="2" t="str">
        <v>22:45</v>
      </c>
      <c r="C13" s="2" t="str">
        <v>ИТАЛИЯ ИТАЛИЯ</v>
      </c>
      <c r="D13" s="2" t="str">
        <v>Рома-Болонья</v>
      </c>
      <c r="E13" s="3">
        <f>1.50</f>
      </c>
      <c r="F13" s="3">
        <f>4.50</f>
      </c>
      <c r="G13" s="3">
        <f>6.00</f>
      </c>
      <c r="H13" s="3">
        <f>=ROUND((1000/((1000/E13) + (1000/f13))),2)</f>
      </c>
      <c r="I13" s="3">
        <f>=ROUND((1000/((1000/E13) + (1000/G13))),2)</f>
      </c>
      <c r="J13" s="3">
        <f>=ROUND((1000/((1000/F13) + (1000/G13))),2)</f>
      </c>
    </row>
    <row r="14">
      <c r="A14" s="2" t="str">
        <v>01/05 ВС</v>
      </c>
      <c r="B14" s="2" t="str">
        <v>14:15</v>
      </c>
      <c r="C14" s="2" t="str">
        <v>НИДЕРЛАНДЫ НИДЕРЛАНДЫ</v>
      </c>
      <c r="D14" s="2" t="str">
        <v>Херенвен-Камбур</v>
      </c>
      <c r="E14" s="3">
        <f>1.75</f>
      </c>
      <c r="F14" s="3">
        <f>4.00</f>
      </c>
      <c r="G14" s="3">
        <f>4.20</f>
      </c>
      <c r="H14" s="3">
        <f>=ROUND((1000/((1000/E14) + (1000/f14))),2)</f>
      </c>
      <c r="I14" s="3">
        <f>=ROUND((1000/((1000/E14) + (1000/G14))),2)</f>
      </c>
      <c r="J14" s="3">
        <f>=ROUND((1000/((1000/F14) + (1000/G14))),2)</f>
      </c>
    </row>
    <row r="15">
      <c r="A15" s="2" t="str">
        <v>01/05 ВС</v>
      </c>
      <c r="B15" s="2" t="str">
        <v>16:30</v>
      </c>
      <c r="C15" s="2" t="str">
        <v>НИДЕРЛАНДЫ НИДЕРЛАНДЫ</v>
      </c>
      <c r="D15" s="2" t="str">
        <v>Гоу Эхед Иглс-Витесс</v>
      </c>
      <c r="E15" s="3">
        <f>2.87</f>
      </c>
      <c r="F15" s="3">
        <f>3.50</f>
      </c>
      <c r="G15" s="3">
        <f>2.37</f>
      </c>
      <c r="H15" s="3">
        <f>=ROUND((1000/((1000/E15) + (1000/f15))),2)</f>
      </c>
      <c r="I15" s="3">
        <f>=ROUND((1000/((1000/E15) + (1000/G15))),2)</f>
      </c>
      <c r="J15" s="3">
        <f>=ROUND((1000/((1000/F15) + (1000/G15))),2)</f>
      </c>
    </row>
    <row r="16">
      <c r="A16" s="2" t="str">
        <v>01/05 ВС</v>
      </c>
      <c r="B16" s="2" t="str">
        <v>16:30</v>
      </c>
      <c r="C16" s="2" t="str">
        <v>НИДЕРЛАНДЫ НИДЕРЛАНДЫ</v>
      </c>
      <c r="D16" s="2" t="str">
        <v>ПСВ-Виллем II</v>
      </c>
      <c r="E16" s="3">
        <f>1.14</f>
      </c>
      <c r="F16" s="3">
        <f>8.00</f>
      </c>
      <c r="G16" s="3">
        <f>17.00</f>
      </c>
      <c r="H16" s="3">
        <f>=ROUND((1000/((1000/E16) + (1000/f16))),2)</f>
      </c>
      <c r="I16" s="3">
        <f>=ROUND((1000/((1000/E16) + (1000/G16))),2)</f>
      </c>
      <c r="J16" s="3">
        <f>=ROUND((1000/((1000/F16) + (1000/G16))),2)</f>
      </c>
    </row>
    <row r="17">
      <c r="A17" s="2" t="str">
        <v>01/05 ВС</v>
      </c>
      <c r="B17" s="2" t="str">
        <v>18:45</v>
      </c>
      <c r="C17" s="2" t="str">
        <v>НИДЕРЛАНДЫ НИДЕРЛАНДЫ</v>
      </c>
      <c r="D17" s="2" t="str">
        <v>Фортуна-Фейеноорд</v>
      </c>
      <c r="E17" s="3">
        <f>7.50</f>
      </c>
      <c r="F17" s="3">
        <f>4.50</f>
      </c>
      <c r="G17" s="3">
        <f>1.40</f>
      </c>
      <c r="H17" s="3">
        <f>=ROUND((1000/((1000/E17) + (1000/f17))),2)</f>
      </c>
      <c r="I17" s="3">
        <f>=ROUND((1000/((1000/E17) + (1000/G17))),2)</f>
      </c>
      <c r="J17" s="3">
        <f>=ROUND((1000/((1000/F17) + (1000/G17))),2)</f>
      </c>
    </row>
    <row r="18">
      <c r="A18" s="2" t="str">
        <v>01/05 ВС</v>
      </c>
      <c r="B18" s="2" t="str">
        <v>22:00</v>
      </c>
      <c r="C18" s="2" t="str">
        <v>НИДЕРЛАНДЫ НИДЕРЛАНДЫ</v>
      </c>
      <c r="D18" s="2" t="str">
        <v>Валвейк-Гронинген</v>
      </c>
      <c r="E18" s="3">
        <f>2.75</f>
      </c>
      <c r="F18" s="3">
        <f>3.40</f>
      </c>
      <c r="G18" s="3">
        <f>2.55</f>
      </c>
      <c r="H18" s="3">
        <f>=ROUND((1000/((1000/E18) + (1000/f18))),2)</f>
      </c>
      <c r="I18" s="3">
        <f>=ROUND((1000/((1000/E18) + (1000/G18))),2)</f>
      </c>
      <c r="J18" s="3">
        <f>=ROUND((1000/((1000/F18) + (1000/G18))),2)</f>
      </c>
    </row>
    <row r="19">
      <c r="A19" s="2" t="str">
        <v>01/05 ВС</v>
      </c>
      <c r="B19" s="2" t="str">
        <v>15:00</v>
      </c>
      <c r="C19" s="2" t="str">
        <v>РОССИЯ РОССИЯ</v>
      </c>
      <c r="D19" s="2" t="str">
        <v>Спартак Москва-Крылья Советов</v>
      </c>
      <c r="E19" s="3">
        <f>-</f>
      </c>
      <c r="F19" s="3">
        <f>-</f>
      </c>
      <c r="G19" s="3">
        <f>-</f>
      </c>
      <c r="H19" s="3">
        <f>=ROUND((1000/((1000/E19) + (1000/f19))),2)</f>
      </c>
      <c r="I19" s="3">
        <f>=ROUND((1000/((1000/E19) + (1000/G19))),2)</f>
      </c>
      <c r="J19" s="3">
        <f>=ROUND((1000/((1000/F19) + (1000/G19))),2)</f>
      </c>
    </row>
    <row r="20">
      <c r="A20" s="2" t="str">
        <v>01/05 ВС</v>
      </c>
      <c r="B20" s="2" t="str">
        <v>17:30</v>
      </c>
      <c r="C20" s="2" t="str">
        <v>РОССИЯ РОССИЯ</v>
      </c>
      <c r="D20" s="2" t="str">
        <v>Химки-Уфа</v>
      </c>
      <c r="E20" s="3">
        <f>-</f>
      </c>
      <c r="F20" s="3">
        <f>-</f>
      </c>
      <c r="G20" s="3">
        <f>-</f>
      </c>
      <c r="H20" s="3">
        <f>=ROUND((1000/((1000/E20) + (1000/f20))),2)</f>
      </c>
      <c r="I20" s="3">
        <f>=ROUND((1000/((1000/E20) + (1000/G20))),2)</f>
      </c>
      <c r="J20" s="3">
        <f>=ROUND((1000/((1000/F20) + (1000/G20))),2)</f>
      </c>
    </row>
    <row r="21">
      <c r="A21" s="2" t="str">
        <v>01/05 ВС</v>
      </c>
      <c r="B21" s="2" t="str">
        <v>20:00</v>
      </c>
      <c r="C21" s="2" t="str">
        <v>РОССИЯ РОССИЯ</v>
      </c>
      <c r="D21" s="2" t="str">
        <v>Ахмат-ЦСКА</v>
      </c>
      <c r="E21" s="3">
        <f>-</f>
      </c>
      <c r="F21" s="3">
        <f>-</f>
      </c>
      <c r="G21" s="3">
        <f>-</f>
      </c>
      <c r="H21" s="3">
        <f>=ROUND((1000/((1000/E21) + (1000/f21))),2)</f>
      </c>
      <c r="I21" s="3">
        <f>=ROUND((1000/((1000/E21) + (1000/G21))),2)</f>
      </c>
      <c r="J21" s="3">
        <f>=ROUND((1000/((1000/F21) + (1000/G21))),2)</f>
      </c>
    </row>
    <row r="22">
      <c r="A22" s="2" t="str">
        <v>01/05 ВС</v>
      </c>
      <c r="B22" s="2" t="str">
        <v>15:00</v>
      </c>
      <c r="C22" s="2" t="str">
        <v>ФРАНЦИЯ ФРАНЦИЯ</v>
      </c>
      <c r="D22" s="2" t="str">
        <v>Труа-Лилль</v>
      </c>
      <c r="E22" s="3">
        <f>3.60</f>
      </c>
      <c r="F22" s="3">
        <f>3.25</f>
      </c>
      <c r="G22" s="3">
        <f>2.15</f>
      </c>
      <c r="H22" s="3">
        <f>=ROUND((1000/((1000/E22) + (1000/f22))),2)</f>
      </c>
      <c r="I22" s="3">
        <f>=ROUND((1000/((1000/E22) + (1000/G22))),2)</f>
      </c>
      <c r="J22" s="3">
        <f>=ROUND((1000/((1000/F22) + (1000/G22))),2)</f>
      </c>
    </row>
    <row r="23">
      <c r="A23" s="2" t="str">
        <v>01/05 ВС</v>
      </c>
      <c r="B23" s="2" t="str">
        <v>17:00</v>
      </c>
      <c r="C23" s="2" t="str">
        <v>ФРАНЦИЯ ФРАНЦИЯ</v>
      </c>
      <c r="D23" s="2" t="str">
        <v>Брест-Клермон</v>
      </c>
      <c r="E23" s="3">
        <f>2.30</f>
      </c>
      <c r="F23" s="3">
        <f>3.40</f>
      </c>
      <c r="G23" s="3">
        <f>3.10</f>
      </c>
      <c r="H23" s="3">
        <f>=ROUND((1000/((1000/E23) + (1000/f23))),2)</f>
      </c>
      <c r="I23" s="3">
        <f>=ROUND((1000/((1000/E23) + (1000/G23))),2)</f>
      </c>
      <c r="J23" s="3">
        <f>=ROUND((1000/((1000/F23) + (1000/G23))),2)</f>
      </c>
    </row>
    <row r="24">
      <c r="A24" s="2" t="str">
        <v>01/05 ВС</v>
      </c>
      <c r="B24" s="2" t="str">
        <v>17:00</v>
      </c>
      <c r="C24" s="2" t="str">
        <v>ФРАНЦИЯ ФРАНЦИЯ</v>
      </c>
      <c r="D24" s="2" t="str">
        <v>Лорьян-Реймс</v>
      </c>
      <c r="E24" s="3">
        <f>2.25</f>
      </c>
      <c r="F24" s="3">
        <f>3.20</f>
      </c>
      <c r="G24" s="3">
        <f>3.40</f>
      </c>
      <c r="H24" s="3">
        <f>=ROUND((1000/((1000/E24) + (1000/f24))),2)</f>
      </c>
      <c r="I24" s="3">
        <f>=ROUND((1000/((1000/E24) + (1000/G24))),2)</f>
      </c>
      <c r="J24" s="3">
        <f>=ROUND((1000/((1000/F24) + (1000/G24))),2)</f>
      </c>
    </row>
    <row r="25">
      <c r="A25" s="2" t="str">
        <v>01/05 ВС</v>
      </c>
      <c r="B25" s="2" t="str">
        <v>17:00</v>
      </c>
      <c r="C25" s="2" t="str">
        <v>ФРАНЦИЯ ФРАНЦИЯ</v>
      </c>
      <c r="D25" s="2" t="str">
        <v>Монако-Анже</v>
      </c>
      <c r="E25" s="3">
        <f>1.40</f>
      </c>
      <c r="F25" s="3">
        <f>4.75</f>
      </c>
      <c r="G25" s="3">
        <f>8.00</f>
      </c>
      <c r="H25" s="3">
        <f>=ROUND((1000/((1000/E25) + (1000/f25))),2)</f>
      </c>
      <c r="I25" s="3">
        <f>=ROUND((1000/((1000/E25) + (1000/G25))),2)</f>
      </c>
      <c r="J25" s="3">
        <f>=ROUND((1000/((1000/F25) + (1000/G25))),2)</f>
      </c>
    </row>
    <row r="26">
      <c r="A26" s="2" t="str">
        <v>01/05 ВС</v>
      </c>
      <c r="B26" s="2" t="str">
        <v>17:00</v>
      </c>
      <c r="C26" s="2" t="str">
        <v>ФРАНЦИЯ ФРАНЦИЯ</v>
      </c>
      <c r="D26" s="2" t="str">
        <v>Монпелье-Мец</v>
      </c>
      <c r="E26" s="3">
        <f>1.70</f>
      </c>
      <c r="F26" s="3">
        <f>3.75</f>
      </c>
      <c r="G26" s="3">
        <f>5.00</f>
      </c>
      <c r="H26" s="3">
        <f>=ROUND((1000/((1000/E26) + (1000/f26))),2)</f>
      </c>
      <c r="I26" s="3">
        <f>=ROUND((1000/((1000/E26) + (1000/G26))),2)</f>
      </c>
      <c r="J26" s="3">
        <f>=ROUND((1000/((1000/F26) + (1000/G26))),2)</f>
      </c>
    </row>
    <row r="27">
      <c r="A27" s="2" t="str">
        <v>01/05 ВС</v>
      </c>
      <c r="B27" s="2" t="str">
        <v>19:05</v>
      </c>
      <c r="C27" s="2" t="str">
        <v>ФРАНЦИЯ ФРАНЦИЯ</v>
      </c>
      <c r="D27" s="2" t="str">
        <v>Бордо-Ницца</v>
      </c>
      <c r="E27" s="3">
        <f>3.75</f>
      </c>
      <c r="F27" s="3">
        <f>3.60</f>
      </c>
      <c r="G27" s="3">
        <f>1.95</f>
      </c>
      <c r="H27" s="3">
        <f>=ROUND((1000/((1000/E27) + (1000/f27))),2)</f>
      </c>
      <c r="I27" s="3">
        <f>=ROUND((1000/((1000/E27) + (1000/G27))),2)</f>
      </c>
      <c r="J27" s="3">
        <f>=ROUND((1000/((1000/F27) + (1000/G27))),2)</f>
      </c>
    </row>
    <row r="28">
      <c r="A28" s="2" t="str">
        <v>01/05 ВС</v>
      </c>
      <c r="B28" s="2" t="str">
        <v>22:45</v>
      </c>
      <c r="C28" s="2" t="str">
        <v>ФРАНЦИЯ ФРАНЦИЯ</v>
      </c>
      <c r="D28" s="2" t="str">
        <v>Марсель-Лион</v>
      </c>
      <c r="E28" s="3">
        <f>2.25</f>
      </c>
      <c r="F28" s="3">
        <f>3.50</f>
      </c>
      <c r="G28" s="3">
        <f>3.00</f>
      </c>
      <c r="H28" s="3">
        <f>=ROUND((1000/((1000/E28) + (1000/f28))),2)</f>
      </c>
      <c r="I28" s="3">
        <f>=ROUND((1000/((1000/E28) + (1000/G28))),2)</f>
      </c>
      <c r="J28" s="3">
        <f>=ROUND((1000/((1000/F28) + (1000/G28))),2)</f>
      </c>
    </row>
    <row r="29">
      <c r="A29" s="2" t="str">
        <v>01/05 ВС</v>
      </c>
      <c r="B29" s="2" t="str">
        <v>10:05</v>
      </c>
      <c r="C29" s="2" t="str">
        <v>АВСТРАЛИЯ АВСТРАЛИЯ</v>
      </c>
      <c r="D29" s="2" t="str">
        <v>Макартур-Ньюкасл Джетс</v>
      </c>
      <c r="E29" s="3">
        <f>2.20</f>
      </c>
      <c r="F29" s="3">
        <f>3.40</f>
      </c>
      <c r="G29" s="3">
        <f>3.30</f>
      </c>
      <c r="H29" s="3">
        <f>=ROUND((1000/((1000/E29) + (1000/f29))),2)</f>
      </c>
      <c r="I29" s="3">
        <f>=ROUND((1000/((1000/E29) + (1000/G29))),2)</f>
      </c>
      <c r="J29" s="3">
        <f>=ROUND((1000/((1000/F29) + (1000/G29))),2)</f>
      </c>
    </row>
    <row r="30">
      <c r="A30" s="2" t="str">
        <v>01/05 ВС</v>
      </c>
      <c r="B30" s="2" t="str">
        <v>09:00</v>
      </c>
      <c r="C30" s="2" t="str">
        <v>АВСТРАЛИЯ АВСТРАЛИЯ</v>
      </c>
      <c r="D30" s="2" t="str">
        <v>Гангалин-Канберра Хорватия</v>
      </c>
      <c r="E30" s="3">
        <f>-</f>
      </c>
      <c r="F30" s="3">
        <f>-</f>
      </c>
      <c r="G30" s="3">
        <f>-</f>
      </c>
      <c r="H30" s="3">
        <f>=ROUND((1000/((1000/E30) + (1000/f30))),2)</f>
      </c>
      <c r="I30" s="3">
        <f>=ROUND((1000/((1000/E30) + (1000/G30))),2)</f>
      </c>
      <c r="J30" s="3">
        <f>=ROUND((1000/((1000/F30) + (1000/G30))),2)</f>
      </c>
    </row>
    <row r="31">
      <c r="A31" s="2" t="str">
        <v>01/05 ВС</v>
      </c>
      <c r="B31" s="2" t="str">
        <v>08:00</v>
      </c>
      <c r="C31" s="2" t="str">
        <v>АВСТРАЛИЯ АВСТРАЛИЯ</v>
      </c>
      <c r="D31" s="2" t="str">
        <v>Валентайн-Лэмбтон Джаффас</v>
      </c>
      <c r="E31" s="3">
        <f>-</f>
      </c>
      <c r="F31" s="3">
        <f>-</f>
      </c>
      <c r="G31" s="3">
        <f>-</f>
      </c>
      <c r="H31" s="3">
        <f>=ROUND((1000/((1000/E31) + (1000/f31))),2)</f>
      </c>
      <c r="I31" s="3">
        <f>=ROUND((1000/((1000/E31) + (1000/G31))),2)</f>
      </c>
      <c r="J31" s="3">
        <f>=ROUND((1000/((1000/F31) + (1000/G31))),2)</f>
      </c>
    </row>
    <row r="32">
      <c r="A32" s="2" t="str">
        <v>01/05 ВС</v>
      </c>
      <c r="B32" s="2" t="str">
        <v>08:00</v>
      </c>
      <c r="C32" s="2" t="str">
        <v>АВСТРАЛИЯ АВСТРАЛИЯ</v>
      </c>
      <c r="D32" s="2" t="str">
        <v>Лэйк-Макуаир-Эджуорт Иглз</v>
      </c>
      <c r="E32" s="3">
        <f>-</f>
      </c>
      <c r="F32" s="3">
        <f>-</f>
      </c>
      <c r="G32" s="3">
        <f>-</f>
      </c>
      <c r="H32" s="3">
        <f>=ROUND((1000/((1000/E32) + (1000/f32))),2)</f>
      </c>
      <c r="I32" s="3">
        <f>=ROUND((1000/((1000/E32) + (1000/G32))),2)</f>
      </c>
      <c r="J32" s="3">
        <f>=ROUND((1000/((1000/F32) + (1000/G32))),2)</f>
      </c>
    </row>
    <row r="33">
      <c r="A33" s="2" t="str">
        <v>01/05 ВС</v>
      </c>
      <c r="B33" s="2" t="str">
        <v>09:00</v>
      </c>
      <c r="C33" s="2" t="str">
        <v>АВСТРАЛИЯ АВСТРАЛИЯ</v>
      </c>
      <c r="D33" s="2" t="str">
        <v>Блэктаун Сити-Сазерланд Шаркс</v>
      </c>
      <c r="E33" s="3">
        <f>-</f>
      </c>
      <c r="F33" s="3">
        <f>-</f>
      </c>
      <c r="G33" s="3">
        <f>-</f>
      </c>
      <c r="H33" s="3">
        <f>=ROUND((1000/((1000/E33) + (1000/f33))),2)</f>
      </c>
      <c r="I33" s="3">
        <f>=ROUND((1000/((1000/E33) + (1000/G33))),2)</f>
      </c>
      <c r="J33" s="3">
        <f>=ROUND((1000/((1000/F33) + (1000/G33))),2)</f>
      </c>
    </row>
    <row r="34">
      <c r="A34" s="2" t="str">
        <v>01/05 ВС</v>
      </c>
      <c r="B34" s="2" t="str">
        <v>09:00</v>
      </c>
      <c r="C34" s="2" t="str">
        <v>АВСТРАЛИЯ АВСТРАЛИЯ</v>
      </c>
      <c r="D34" s="2" t="str">
        <v>Сидней Юнайтед-ФК Сидней U21</v>
      </c>
      <c r="E34" s="3">
        <f>-</f>
      </c>
      <c r="F34" s="3">
        <f>-</f>
      </c>
      <c r="G34" s="3">
        <f>-</f>
      </c>
      <c r="H34" s="3">
        <f>=ROUND((1000/((1000/E34) + (1000/f34))),2)</f>
      </c>
      <c r="I34" s="3">
        <f>=ROUND((1000/((1000/E34) + (1000/G34))),2)</f>
      </c>
      <c r="J34" s="3">
        <f>=ROUND((1000/((1000/F34) + (1000/G34))),2)</f>
      </c>
    </row>
    <row r="35">
      <c r="A35" s="2" t="str">
        <v>01/05 ВС</v>
      </c>
      <c r="B35" s="2" t="str">
        <v>10:00</v>
      </c>
      <c r="C35" s="2" t="str">
        <v>АВСТРАЛИЯ АВСТРАЛИЯ</v>
      </c>
      <c r="D35" s="2" t="str">
        <v>Rockdale Ilinden-Нортбридж Буллс</v>
      </c>
      <c r="E35" s="3">
        <f>-</f>
      </c>
      <c r="F35" s="3">
        <f>-</f>
      </c>
      <c r="G35" s="3">
        <f>-</f>
      </c>
      <c r="H35" s="3">
        <f>=ROUND((1000/((1000/E35) + (1000/f35))),2)</f>
      </c>
      <c r="I35" s="3">
        <f>=ROUND((1000/((1000/E35) + (1000/G35))),2)</f>
      </c>
      <c r="J35" s="3">
        <f>=ROUND((1000/((1000/F35) + (1000/G35))),2)</f>
      </c>
    </row>
    <row r="36">
      <c r="A36" s="2" t="str">
        <v>01/05 ВС</v>
      </c>
      <c r="B36" s="2" t="str">
        <v>11:15</v>
      </c>
      <c r="C36" s="2" t="str">
        <v>АВСТРАЛИЯ АВСТРАЛИЯ</v>
      </c>
      <c r="D36" s="2" t="str">
        <v>Сидней Олимпик-АПИА Лейхгардт</v>
      </c>
      <c r="E36" s="3">
        <f>-</f>
      </c>
      <c r="F36" s="3">
        <f>-</f>
      </c>
      <c r="G36" s="3">
        <f>-</f>
      </c>
      <c r="H36" s="3">
        <f>=ROUND((1000/((1000/E36) + (1000/f36))),2)</f>
      </c>
      <c r="I36" s="3">
        <f>=ROUND((1000/((1000/E36) + (1000/G36))),2)</f>
      </c>
      <c r="J36" s="3">
        <f>=ROUND((1000/((1000/F36) + (1000/G36))),2)</f>
      </c>
    </row>
    <row r="37">
      <c r="A37" s="2" t="str">
        <v>01/05 ВС</v>
      </c>
      <c r="B37" s="2" t="str">
        <v>12:00</v>
      </c>
      <c r="C37" s="2" t="str">
        <v>АВСТРАЛИЯ АВСТРАЛИЯ</v>
      </c>
      <c r="D37" s="2" t="str">
        <v>Олимпик ФК-Пенинсула</v>
      </c>
      <c r="E37" s="3">
        <f>-</f>
      </c>
      <c r="F37" s="3">
        <f>-</f>
      </c>
      <c r="G37" s="3">
        <f>-</f>
      </c>
      <c r="H37" s="3">
        <f>=ROUND((1000/((1000/E37) + (1000/f37))),2)</f>
      </c>
      <c r="I37" s="3">
        <f>=ROUND((1000/((1000/E37) + (1000/G37))),2)</f>
      </c>
      <c r="J37" s="3">
        <f>=ROUND((1000/((1000/F37) + (1000/G37))),2)</f>
      </c>
    </row>
    <row r="38">
      <c r="A38" s="2" t="str">
        <v>01/05 ВС</v>
      </c>
      <c r="B38" s="2" t="str">
        <v>09:00</v>
      </c>
      <c r="C38" s="2" t="str">
        <v>АВСТРАЛИЯ АВСТРАЛИЯ</v>
      </c>
      <c r="D38" s="2" t="str">
        <v>Аделаида U21-Уайт Сити</v>
      </c>
      <c r="E38" s="3">
        <f>-</f>
      </c>
      <c r="F38" s="3">
        <f>-</f>
      </c>
      <c r="G38" s="3">
        <f>-</f>
      </c>
      <c r="H38" s="3">
        <f>=ROUND((1000/((1000/E38) + (1000/f38))),2)</f>
      </c>
      <c r="I38" s="3">
        <f>=ROUND((1000/((1000/E38) + (1000/G38))),2)</f>
      </c>
      <c r="J38" s="3">
        <f>=ROUND((1000/((1000/F38) + (1000/G38))),2)</f>
      </c>
    </row>
    <row r="39">
      <c r="A39" s="2" t="str">
        <v>01/05 ВС</v>
      </c>
      <c r="B39" s="2" t="str">
        <v>09:00</v>
      </c>
      <c r="C39" s="2" t="str">
        <v>АВСТРАЛИЯ АВСТРАЛИЯ</v>
      </c>
      <c r="D39" s="2" t="str">
        <v>Сент Олбанс-Данденонг</v>
      </c>
      <c r="E39" s="3">
        <f>-</f>
      </c>
      <c r="F39" s="3">
        <f>-</f>
      </c>
      <c r="G39" s="3">
        <f>-</f>
      </c>
      <c r="H39" s="3">
        <f>=ROUND((1000/((1000/E39) + (1000/f39))),2)</f>
      </c>
      <c r="I39" s="3">
        <f>=ROUND((1000/((1000/E39) + (1000/G39))),2)</f>
      </c>
      <c r="J39" s="3">
        <f>=ROUND((1000/((1000/F39) + (1000/G39))),2)</f>
      </c>
    </row>
    <row r="40">
      <c r="A40" s="2" t="str">
        <v>01/05 ВС</v>
      </c>
      <c r="B40" s="2" t="str">
        <v>17:00</v>
      </c>
      <c r="C40" s="2" t="str">
        <v>АВСТРИЯ АВСТРИЯ</v>
      </c>
      <c r="D40" s="2" t="str">
        <v>Ротис-Дорнбирнер СВ</v>
      </c>
      <c r="E40" s="3">
        <f>-</f>
      </c>
      <c r="F40" s="3">
        <f>-</f>
      </c>
      <c r="G40" s="3">
        <f>-</f>
      </c>
      <c r="H40" s="3">
        <f>=ROUND((1000/((1000/E40) + (1000/f40))),2)</f>
      </c>
      <c r="I40" s="3">
        <f>=ROUND((1000/((1000/E40) + (1000/G40))),2)</f>
      </c>
      <c r="J40" s="3">
        <f>=ROUND((1000/((1000/F40) + (1000/G40))),2)</f>
      </c>
    </row>
    <row r="41">
      <c r="A41" s="2" t="str">
        <v>01/05 ВС</v>
      </c>
      <c r="B41" s="2" t="str">
        <v>17:00</v>
      </c>
      <c r="C41" s="2" t="str">
        <v>АВСТРИЯ АВСТРИЯ</v>
      </c>
      <c r="D41" s="2" t="str">
        <v>Телфс-Аустрия Зальцбург</v>
      </c>
      <c r="E41" s="3">
        <f>-</f>
      </c>
      <c r="F41" s="3">
        <f>-</f>
      </c>
      <c r="G41" s="3">
        <f>-</f>
      </c>
      <c r="H41" s="3">
        <f>=ROUND((1000/((1000/E41) + (1000/f41))),2)</f>
      </c>
      <c r="I41" s="3">
        <f>=ROUND((1000/((1000/E41) + (1000/G41))),2)</f>
      </c>
      <c r="J41" s="3">
        <f>=ROUND((1000/((1000/F41) + (1000/G41))),2)</f>
      </c>
    </row>
    <row r="42">
      <c r="A42" s="2" t="str">
        <v>01/05 ВС</v>
      </c>
      <c r="B42" s="2" t="str">
        <v>19:00</v>
      </c>
      <c r="C42" s="2" t="str">
        <v>АВСТРИЯ АВСТРИЯ</v>
      </c>
      <c r="D42" s="2" t="str">
        <v>Зальцбург-Рид</v>
      </c>
      <c r="E42" s="3">
        <f>1.20</f>
      </c>
      <c r="F42" s="3">
        <f>8.00</f>
      </c>
      <c r="G42" s="3">
        <f>11.00</f>
      </c>
      <c r="H42" s="3">
        <f>=ROUND((1000/((1000/E42) + (1000/f42))),2)</f>
      </c>
      <c r="I42" s="3">
        <f>=ROUND((1000/((1000/E42) + (1000/G42))),2)</f>
      </c>
      <c r="J42" s="3">
        <f>=ROUND((1000/((1000/F42) + (1000/G42))),2)</f>
      </c>
    </row>
    <row r="43">
      <c r="A43" s="2" t="str">
        <v>01/05 ВС</v>
      </c>
      <c r="B43" s="2" t="str">
        <v>12:30</v>
      </c>
      <c r="C43" s="2" t="str">
        <v>АВСТРИЯ АВСТРИЯ</v>
      </c>
      <c r="D43" s="2" t="str">
        <v>Аустрия (Ж)-Альтах/Фордерланд (Ж)</v>
      </c>
      <c r="E43" s="3">
        <f>-</f>
      </c>
      <c r="F43" s="3">
        <f>-</f>
      </c>
      <c r="G43" s="3">
        <f>-</f>
      </c>
      <c r="H43" s="3">
        <f>=ROUND((1000/((1000/E43) + (1000/f43))),2)</f>
      </c>
      <c r="I43" s="3">
        <f>=ROUND((1000/((1000/E43) + (1000/G43))),2)</f>
      </c>
      <c r="J43" s="3">
        <f>=ROUND((1000/((1000/F43) + (1000/G43))),2)</f>
      </c>
    </row>
    <row r="44">
      <c r="A44" s="2" t="str">
        <v>01/05 ВС</v>
      </c>
      <c r="B44" s="2" t="str">
        <v>13:00</v>
      </c>
      <c r="C44" s="2" t="str">
        <v>АВСТРИЯ АВСТРИЯ</v>
      </c>
      <c r="D44" s="2" t="str">
        <v>Судбюргенланд (Ж)-Вакер Инсбрук (Ж)</v>
      </c>
      <c r="E44" s="3">
        <f>-</f>
      </c>
      <c r="F44" s="3">
        <f>-</f>
      </c>
      <c r="G44" s="3">
        <f>-</f>
      </c>
      <c r="H44" s="3">
        <f>=ROUND((1000/((1000/E44) + (1000/f44))),2)</f>
      </c>
      <c r="I44" s="3">
        <f>=ROUND((1000/((1000/E44) + (1000/G44))),2)</f>
      </c>
      <c r="J44" s="3">
        <f>=ROUND((1000/((1000/F44) + (1000/G44))),2)</f>
      </c>
    </row>
    <row r="45">
      <c r="A45" s="2" t="str">
        <v>01/05 ВС</v>
      </c>
      <c r="B45" s="2" t="str">
        <v>14:45</v>
      </c>
      <c r="C45" s="2" t="str">
        <v>АВСТРИЯ АВСТРИЯ</v>
      </c>
      <c r="D45" s="2" t="str">
        <v>Нойленгбах (Ж)-Альтенмаркт (Ж)</v>
      </c>
      <c r="E45" s="3">
        <f>-</f>
      </c>
      <c r="F45" s="3">
        <f>-</f>
      </c>
      <c r="G45" s="3">
        <f>-</f>
      </c>
      <c r="H45" s="3">
        <f>=ROUND((1000/((1000/E45) + (1000/f45))),2)</f>
      </c>
      <c r="I45" s="3">
        <f>=ROUND((1000/((1000/E45) + (1000/G45))),2)</f>
      </c>
      <c r="J45" s="3">
        <f>=ROUND((1000/((1000/F45) + (1000/G45))),2)</f>
      </c>
    </row>
    <row r="46">
      <c r="A46" s="2" t="str">
        <v>01/05 ВС</v>
      </c>
      <c r="B46" s="2" t="str">
        <v>16:00</v>
      </c>
      <c r="C46" s="2" t="str">
        <v>АЗЕРБАЙДЖАН АЗЕРБАЙДЖАН</v>
      </c>
      <c r="D46" s="2" t="str">
        <v>Нефтчи 2-Зира 2</v>
      </c>
      <c r="E46" s="3">
        <f>-</f>
      </c>
      <c r="F46" s="3">
        <f>-</f>
      </c>
      <c r="G46" s="3">
        <f>-</f>
      </c>
      <c r="H46" s="3">
        <f>=ROUND((1000/((1000/E46) + (1000/f46))),2)</f>
      </c>
      <c r="I46" s="3">
        <f>=ROUND((1000/((1000/E46) + (1000/G46))),2)</f>
      </c>
      <c r="J46" s="3">
        <f>=ROUND((1000/((1000/F46) + (1000/G46))),2)</f>
      </c>
    </row>
    <row r="47">
      <c r="A47" s="2" t="str">
        <v>01/05 ВС</v>
      </c>
      <c r="B47" s="2" t="str">
        <v>16:00</v>
      </c>
      <c r="C47" s="2" t="str">
        <v>АЗЕРБАЙДЖАН АЗЕРБАЙДЖАН</v>
      </c>
      <c r="D47" s="2" t="str">
        <v>Сумгаит 2-Загатала</v>
      </c>
      <c r="E47" s="3">
        <f>-</f>
      </c>
      <c r="F47" s="3">
        <f>-</f>
      </c>
      <c r="G47" s="3">
        <f>-</f>
      </c>
      <c r="H47" s="3">
        <f>=ROUND((1000/((1000/E47) + (1000/f47))),2)</f>
      </c>
      <c r="I47" s="3">
        <f>=ROUND((1000/((1000/E47) + (1000/G47))),2)</f>
      </c>
      <c r="J47" s="3">
        <f>=ROUND((1000/((1000/F47) + (1000/G47))),2)</f>
      </c>
    </row>
    <row r="48">
      <c r="A48" s="2" t="str">
        <v>01/05 ВС</v>
      </c>
      <c r="B48" s="2" t="str">
        <v>16:00</v>
      </c>
      <c r="C48" s="2" t="str">
        <v>АЗЕРБАЙДЖАН АЗЕРБАЙДЖАН</v>
      </c>
      <c r="D48" s="2" t="str">
        <v>Шамахи 2-Сабаил 2</v>
      </c>
      <c r="E48" s="3">
        <f>-</f>
      </c>
      <c r="F48" s="3">
        <f>-</f>
      </c>
      <c r="G48" s="3">
        <f>-</f>
      </c>
      <c r="H48" s="3">
        <f>=ROUND((1000/((1000/E48) + (1000/f48))),2)</f>
      </c>
      <c r="I48" s="3">
        <f>=ROUND((1000/((1000/E48) + (1000/G48))),2)</f>
      </c>
      <c r="J48" s="3">
        <f>=ROUND((1000/((1000/F48) + (1000/G48))),2)</f>
      </c>
    </row>
    <row r="49">
      <c r="A49" s="2" t="str">
        <v>01/05 ВС</v>
      </c>
      <c r="B49" s="2" t="str">
        <v>15:00</v>
      </c>
      <c r="C49" s="2" t="str">
        <v>АЗИЯ АЗИЯ</v>
      </c>
      <c r="D49" s="2" t="str">
        <v>Китчи (Гоо)-Кобе (Япо)</v>
      </c>
      <c r="E49" s="3">
        <f>-</f>
      </c>
      <c r="F49" s="3">
        <f>-</f>
      </c>
      <c r="G49" s="3">
        <f>-</f>
      </c>
      <c r="H49" s="3">
        <f>=ROUND((1000/((1000/E49) + (1000/f49))),2)</f>
      </c>
      <c r="I49" s="3">
        <f>=ROUND((1000/((1000/E49) + (1000/G49))),2)</f>
      </c>
      <c r="J49" s="3">
        <f>=ROUND((1000/((1000/F49) + (1000/G49))),2)</f>
      </c>
    </row>
    <row r="50">
      <c r="A50" s="2" t="str">
        <v>01/05 ВС</v>
      </c>
      <c r="B50" s="2" t="str">
        <v>15:00</v>
      </c>
      <c r="C50" s="2" t="str">
        <v>АЗИЯ АЗИЯ</v>
      </c>
      <c r="D50" s="2" t="str">
        <v>Хоангань Зялай (Вье)-ФК Сидней (Авс)</v>
      </c>
      <c r="E50" s="3">
        <f>-</f>
      </c>
      <c r="F50" s="3">
        <f>-</f>
      </c>
      <c r="G50" s="3">
        <f>-</f>
      </c>
      <c r="H50" s="3">
        <f>=ROUND((1000/((1000/E50) + (1000/f50))),2)</f>
      </c>
      <c r="I50" s="3">
        <f>=ROUND((1000/((1000/E50) + (1000/G50))),2)</f>
      </c>
      <c r="J50" s="3">
        <f>=ROUND((1000/((1000/F50) + (1000/G50))),2)</f>
      </c>
    </row>
    <row r="51">
      <c r="A51" s="2" t="str">
        <v>01/05 ВС</v>
      </c>
      <c r="B51" s="2" t="str">
        <v>Отменен</v>
      </c>
      <c r="C51" s="2" t="str">
        <v>АЗИЯ АЗИЯ</v>
      </c>
      <c r="D51" s="2" t="str">
        <v>Шанхай Порт (Кит)-Чианграй Юнайтед (Таи)</v>
      </c>
      <c r="E51" s="3">
        <f>-</f>
      </c>
      <c r="F51" s="3">
        <f>-</f>
      </c>
      <c r="G51" s="3">
        <f>-</f>
      </c>
      <c r="H51" s="3">
        <f>=ROUND((1000/((1000/E51) + (1000/f51))),2)</f>
      </c>
      <c r="I51" s="3">
        <f>=ROUND((1000/((1000/E51) + (1000/G51))),2)</f>
      </c>
      <c r="J51" s="3">
        <f>=ROUND((1000/((1000/F51) + (1000/G51))),2)</f>
      </c>
    </row>
    <row r="52">
      <c r="A52" s="2" t="str">
        <v>01/05 ВС</v>
      </c>
      <c r="B52" s="2" t="str">
        <v>18:00</v>
      </c>
      <c r="C52" s="2" t="str">
        <v>АЗИЯ АЗИЯ</v>
      </c>
      <c r="D52" s="2" t="str">
        <v>Чонбук Моторс (Кор)-Йокогама M. (Япо)</v>
      </c>
      <c r="E52" s="3">
        <f>-</f>
      </c>
      <c r="F52" s="3">
        <f>-</f>
      </c>
      <c r="G52" s="3">
        <f>-</f>
      </c>
      <c r="H52" s="3">
        <f>=ROUND((1000/((1000/E52) + (1000/f52))),2)</f>
      </c>
      <c r="I52" s="3">
        <f>=ROUND((1000/((1000/E52) + (1000/G52))),2)</f>
      </c>
      <c r="J52" s="3">
        <f>=ROUND((1000/((1000/F52) + (1000/G52))),2)</f>
      </c>
    </row>
    <row r="53">
      <c r="A53" s="2" t="str">
        <v>01/05 ВС</v>
      </c>
      <c r="B53" s="2" t="str">
        <v>16:00</v>
      </c>
      <c r="C53" s="2" t="str">
        <v>АНГЛИЯ АНГЛИЯ</v>
      </c>
      <c r="D53" s="2" t="str">
        <v>Блэкберн U23-Челси U23</v>
      </c>
      <c r="E53" s="3">
        <f>-</f>
      </c>
      <c r="F53" s="3">
        <f>-</f>
      </c>
      <c r="G53" s="3">
        <f>-</f>
      </c>
      <c r="H53" s="3">
        <f>=ROUND((1000/((1000/E53) + (1000/f53))),2)</f>
      </c>
      <c r="I53" s="3">
        <f>=ROUND((1000/((1000/E53) + (1000/G53))),2)</f>
      </c>
      <c r="J53" s="3">
        <f>=ROUND((1000/((1000/F53) + (1000/G53))),2)</f>
      </c>
    </row>
    <row r="54">
      <c r="A54" s="2" t="str">
        <v>01/05 ВС</v>
      </c>
      <c r="B54" s="2" t="str">
        <v>16:00</v>
      </c>
      <c r="C54" s="2" t="str">
        <v>АНГЛИЯ АНГЛИЯ</v>
      </c>
      <c r="D54" s="2" t="str">
        <v>Мидлсбро U23-Рединг U23</v>
      </c>
      <c r="E54" s="3">
        <f>-</f>
      </c>
      <c r="F54" s="3">
        <f>-</f>
      </c>
      <c r="G54" s="3">
        <f>-</f>
      </c>
      <c r="H54" s="3">
        <f>=ROUND((1000/((1000/E54) + (1000/f54))),2)</f>
      </c>
      <c r="I54" s="3">
        <f>=ROUND((1000/((1000/E54) + (1000/G54))),2)</f>
      </c>
      <c r="J54" s="3">
        <f>=ROUND((1000/((1000/F54) + (1000/G54))),2)</f>
      </c>
    </row>
    <row r="55">
      <c r="A55" s="2" t="str">
        <v>01/05 ВС</v>
      </c>
      <c r="B55" s="2" t="str">
        <v>17:00</v>
      </c>
      <c r="C55" s="2" t="str">
        <v>АНГЛИЯ АНГЛИЯ</v>
      </c>
      <c r="D55" s="2" t="str">
        <v>Ливерпуль U23-Манчестер Юнайтед U23</v>
      </c>
      <c r="E55" s="3">
        <f>-</f>
      </c>
      <c r="F55" s="3">
        <f>-</f>
      </c>
      <c r="G55" s="3">
        <f>-</f>
      </c>
      <c r="H55" s="3">
        <f>=ROUND((1000/((1000/E55) + (1000/f55))),2)</f>
      </c>
      <c r="I55" s="3">
        <f>=ROUND((1000/((1000/E55) + (1000/G55))),2)</f>
      </c>
      <c r="J55" s="3">
        <f>=ROUND((1000/((1000/F55) + (1000/G55))),2)</f>
      </c>
    </row>
    <row r="56">
      <c r="A56" s="2" t="str">
        <v>01/05 ВС</v>
      </c>
      <c r="B56" s="2" t="str">
        <v>17:00</v>
      </c>
      <c r="C56" s="2" t="str">
        <v>АНГЛИЯ АНГЛИЯ</v>
      </c>
      <c r="D56" s="2" t="str">
        <v>Саутгемптон U23-Сандерленд U23</v>
      </c>
      <c r="E56" s="3">
        <f>-</f>
      </c>
      <c r="F56" s="3">
        <f>-</f>
      </c>
      <c r="G56" s="3">
        <f>-</f>
      </c>
      <c r="H56" s="3">
        <f>=ROUND((1000/((1000/E56) + (1000/f56))),2)</f>
      </c>
      <c r="I56" s="3">
        <f>=ROUND((1000/((1000/E56) + (1000/G56))),2)</f>
      </c>
      <c r="J56" s="3">
        <f>=ROUND((1000/((1000/F56) + (1000/G56))),2)</f>
      </c>
    </row>
    <row r="57">
      <c r="A57" s="2" t="str">
        <v>01/05 ВС</v>
      </c>
      <c r="B57" s="2" t="str">
        <v>15:00</v>
      </c>
      <c r="C57" s="2" t="str">
        <v>АНГЛИЯ АНГЛИЯ</v>
      </c>
      <c r="D57" s="2" t="str">
        <v>Манчестер Юнайтед (Ж)-Вест Хэм (Ж)</v>
      </c>
      <c r="E57" s="3">
        <f>-</f>
      </c>
      <c r="F57" s="3">
        <f>-</f>
      </c>
      <c r="G57" s="3">
        <f>-</f>
      </c>
      <c r="H57" s="3">
        <f>=ROUND((1000/((1000/E57) + (1000/f57))),2)</f>
      </c>
      <c r="I57" s="3">
        <f>=ROUND((1000/((1000/E57) + (1000/G57))),2)</f>
      </c>
      <c r="J57" s="3">
        <f>=ROUND((1000/((1000/F57) + (1000/G57))),2)</f>
      </c>
    </row>
    <row r="58">
      <c r="A58" s="2" t="str">
        <v>01/05 ВС</v>
      </c>
      <c r="B58" s="2" t="str">
        <v>17:00</v>
      </c>
      <c r="C58" s="2" t="str">
        <v>АНГЛИЯ АНГЛИЯ</v>
      </c>
      <c r="D58" s="2" t="str">
        <v>Лестер (Ж)-Рединг (Ж)</v>
      </c>
      <c r="E58" s="3">
        <f>-</f>
      </c>
      <c r="F58" s="3">
        <f>-</f>
      </c>
      <c r="G58" s="3">
        <f>-</f>
      </c>
      <c r="H58" s="3">
        <f>=ROUND((1000/((1000/E58) + (1000/f58))),2)</f>
      </c>
      <c r="I58" s="3">
        <f>=ROUND((1000/((1000/E58) + (1000/G58))),2)</f>
      </c>
      <c r="J58" s="3">
        <f>=ROUND((1000/((1000/F58) + (1000/G58))),2)</f>
      </c>
    </row>
    <row r="59">
      <c r="A59" s="2" t="str">
        <v>01/05 ВС</v>
      </c>
      <c r="B59" s="2" t="str">
        <v>17:15</v>
      </c>
      <c r="C59" s="2" t="str">
        <v>АНГЛИЯ АНГЛИЯ</v>
      </c>
      <c r="D59" s="2" t="str">
        <v>Арсенал (Ж)-Астон Вилла (Ж)</v>
      </c>
      <c r="E59" s="3">
        <f>-</f>
      </c>
      <c r="F59" s="3">
        <f>-</f>
      </c>
      <c r="G59" s="3">
        <f>-</f>
      </c>
      <c r="H59" s="3">
        <f>=ROUND((1000/((1000/E59) + (1000/f59))),2)</f>
      </c>
      <c r="I59" s="3">
        <f>=ROUND((1000/((1000/E59) + (1000/G59))),2)</f>
      </c>
      <c r="J59" s="3">
        <f>=ROUND((1000/((1000/F59) + (1000/G59))),2)</f>
      </c>
    </row>
    <row r="60">
      <c r="A60" s="2" t="str">
        <v>01/05 ВС</v>
      </c>
      <c r="B60" s="2" t="str">
        <v>21:45</v>
      </c>
      <c r="C60" s="2" t="str">
        <v>АНГЛИЯ АНГЛИЯ</v>
      </c>
      <c r="D60" s="2" t="str">
        <v>Бирмингем (Ж)-Челси (Ж)</v>
      </c>
      <c r="E60" s="3">
        <f>-</f>
      </c>
      <c r="F60" s="3">
        <f>-</f>
      </c>
      <c r="G60" s="3">
        <f>-</f>
      </c>
      <c r="H60" s="3">
        <f>=ROUND((1000/((1000/E60) + (1000/f60))),2)</f>
      </c>
      <c r="I60" s="3">
        <f>=ROUND((1000/((1000/E60) + (1000/G60))),2)</f>
      </c>
      <c r="J60" s="3">
        <f>=ROUND((1000/((1000/F60) + (1000/G60))),2)</f>
      </c>
    </row>
    <row r="61">
      <c r="A61" s="2" t="str">
        <v>01/05 ВС</v>
      </c>
      <c r="B61" s="2" t="str">
        <v>22:30</v>
      </c>
      <c r="C61" s="2" t="str">
        <v>АНГЛИЯ АНГЛИЯ</v>
      </c>
      <c r="D61" s="2" t="str">
        <v>Эвертон (Ж)-Тоттенхэм (Ж)</v>
      </c>
      <c r="E61" s="3">
        <f>-</f>
      </c>
      <c r="F61" s="3">
        <f>-</f>
      </c>
      <c r="G61" s="3">
        <f>-</f>
      </c>
      <c r="H61" s="3">
        <f>=ROUND((1000/((1000/E61) + (1000/f61))),2)</f>
      </c>
      <c r="I61" s="3">
        <f>=ROUND((1000/((1000/E61) + (1000/G61))),2)</f>
      </c>
      <c r="J61" s="3">
        <f>=ROUND((1000/((1000/F61) + (1000/G61))),2)</f>
      </c>
    </row>
    <row r="62">
      <c r="A62" s="2" t="str">
        <v>01/05 ВС</v>
      </c>
      <c r="B62" s="2" t="str">
        <v>17:00</v>
      </c>
      <c r="C62" s="2" t="str">
        <v>АНГЛИЯ АНГЛИЯ</v>
      </c>
      <c r="D62" s="2" t="str">
        <v>Лондон-Сити Лайонессес (Ж)-Блэкберн (Ж)</v>
      </c>
      <c r="E62" s="3">
        <f>-</f>
      </c>
      <c r="F62" s="3">
        <f>-</f>
      </c>
      <c r="G62" s="3">
        <f>-</f>
      </c>
      <c r="H62" s="3">
        <f>=ROUND((1000/((1000/E62) + (1000/f62))),2)</f>
      </c>
      <c r="I62" s="3">
        <f>=ROUND((1000/((1000/E62) + (1000/G62))),2)</f>
      </c>
      <c r="J62" s="3">
        <f>=ROUND((1000/((1000/F62) + (1000/G62))),2)</f>
      </c>
    </row>
    <row r="63">
      <c r="A63" s="2" t="str">
        <v>01/05 ВС</v>
      </c>
      <c r="B63" s="2" t="str">
        <v>17:00</v>
      </c>
      <c r="C63" s="2" t="str">
        <v>АНГЛИЯ АНГЛИЯ</v>
      </c>
      <c r="D63" s="2" t="str">
        <v>Льюиз (Ж)-Ливерпуль (Ж)</v>
      </c>
      <c r="E63" s="3">
        <f>-</f>
      </c>
      <c r="F63" s="3">
        <f>-</f>
      </c>
      <c r="G63" s="3">
        <f>-</f>
      </c>
      <c r="H63" s="3">
        <f>=ROUND((1000/((1000/E63) + (1000/f63))),2)</f>
      </c>
      <c r="I63" s="3">
        <f>=ROUND((1000/((1000/E63) + (1000/G63))),2)</f>
      </c>
      <c r="J63" s="3">
        <f>=ROUND((1000/((1000/F63) + (1000/G63))),2)</f>
      </c>
    </row>
    <row r="64">
      <c r="A64" s="2" t="str">
        <v>01/05 ВС</v>
      </c>
      <c r="B64" s="2" t="str">
        <v>17:00</v>
      </c>
      <c r="C64" s="2" t="str">
        <v>АНГЛИЯ АНГЛИЯ</v>
      </c>
      <c r="D64" s="2" t="str">
        <v>Сандерленд (Ж)-Бристоль Сити (Ж)</v>
      </c>
      <c r="E64" s="3">
        <f>-</f>
      </c>
      <c r="F64" s="3">
        <f>-</f>
      </c>
      <c r="G64" s="3">
        <f>-</f>
      </c>
      <c r="H64" s="3">
        <f>=ROUND((1000/((1000/E64) + (1000/f64))),2)</f>
      </c>
      <c r="I64" s="3">
        <f>=ROUND((1000/((1000/E64) + (1000/G64))),2)</f>
      </c>
      <c r="J64" s="3">
        <f>=ROUND((1000/((1000/F64) + (1000/G64))),2)</f>
      </c>
    </row>
    <row r="65">
      <c r="A65" s="2" t="str">
        <v>01/05 ВС</v>
      </c>
      <c r="B65" s="2" t="str">
        <v>17:00</v>
      </c>
      <c r="C65" s="2" t="str">
        <v>АНГЛИЯ АНГЛИЯ</v>
      </c>
      <c r="D65" s="2" t="str">
        <v>Уотфорд (Ж)-Ковентри Юнайтед (Ж)</v>
      </c>
      <c r="E65" s="3">
        <f>-</f>
      </c>
      <c r="F65" s="3">
        <f>-</f>
      </c>
      <c r="G65" s="3">
        <f>-</f>
      </c>
      <c r="H65" s="3">
        <f>=ROUND((1000/((1000/E65) + (1000/f65))),2)</f>
      </c>
      <c r="I65" s="3">
        <f>=ROUND((1000/((1000/E65) + (1000/G65))),2)</f>
      </c>
      <c r="J65" s="3">
        <f>=ROUND((1000/((1000/F65) + (1000/G65))),2)</f>
      </c>
    </row>
    <row r="66">
      <c r="A66" s="2" t="str">
        <v>01/05 ВС</v>
      </c>
      <c r="B66" s="2" t="str">
        <v>17:00</v>
      </c>
      <c r="C66" s="2" t="str">
        <v>АНГЛИЯ АНГЛИЯ</v>
      </c>
      <c r="D66" s="2" t="str">
        <v>Чарльтон (Ж)-Дарем (Ж)</v>
      </c>
      <c r="E66" s="3">
        <f>-</f>
      </c>
      <c r="F66" s="3">
        <f>-</f>
      </c>
      <c r="G66" s="3">
        <f>-</f>
      </c>
      <c r="H66" s="3">
        <f>=ROUND((1000/((1000/E66) + (1000/f66))),2)</f>
      </c>
      <c r="I66" s="3">
        <f>=ROUND((1000/((1000/E66) + (1000/G66))),2)</f>
      </c>
      <c r="J66" s="3">
        <f>=ROUND((1000/((1000/F66) + (1000/G66))),2)</f>
      </c>
    </row>
    <row r="67">
      <c r="A67" s="2" t="str">
        <v>01/05 ВС</v>
      </c>
      <c r="B67" s="2" t="str">
        <v>17:00</v>
      </c>
      <c r="C67" s="2" t="str">
        <v>АНГЛИЯ АНГЛИЯ</v>
      </c>
      <c r="D67" s="2" t="str">
        <v>Шеффилд Юнайтед (Ж)-Кристал Пэлас (Ж)</v>
      </c>
      <c r="E67" s="3">
        <f>-</f>
      </c>
      <c r="F67" s="3">
        <f>-</f>
      </c>
      <c r="G67" s="3">
        <f>-</f>
      </c>
      <c r="H67" s="3">
        <f>=ROUND((1000/((1000/E67) + (1000/f67))),2)</f>
      </c>
      <c r="I67" s="3">
        <f>=ROUND((1000/((1000/E67) + (1000/G67))),2)</f>
      </c>
      <c r="J67" s="3">
        <f>=ROUND((1000/((1000/F67) + (1000/G67))),2)</f>
      </c>
    </row>
    <row r="68" xml:space="preserve">
      <c r="A68" s="2" t="str">
        <v>01/05 ВС</v>
      </c>
      <c r="B68" s="2" t="str" xml:space="preserve">
        <v xml:space="preserve">18:00_x000d_
TKP</v>
      </c>
      <c r="C68" s="2" t="str">
        <v>АНГОЛА АНГОЛА</v>
      </c>
      <c r="D68" s="2" t="str">
        <v>Каала-Дешпортиву Уила</v>
      </c>
      <c r="E68" s="3">
        <f>-</f>
      </c>
      <c r="F68" s="3">
        <f>-</f>
      </c>
      <c r="G68" s="3">
        <f>-</f>
      </c>
      <c r="H68" s="3">
        <f>=ROUND((1000/((1000/E68) + (1000/f68))),2)</f>
      </c>
      <c r="I68" s="3">
        <f>=ROUND((1000/((1000/E68) + (1000/G68))),2)</f>
      </c>
      <c r="J68" s="3">
        <f>=ROUND((1000/((1000/F68) + (1000/G68))),2)</f>
      </c>
    </row>
    <row r="69" xml:space="preserve">
      <c r="A69" s="2" t="str">
        <v>01/05 ВС</v>
      </c>
      <c r="B69" s="2" t="str" xml:space="preserve">
        <v xml:space="preserve">18:30_x000d_
TKP</v>
      </c>
      <c r="C69" s="2" t="str">
        <v>АНГОЛА АНГОЛА</v>
      </c>
      <c r="D69" s="2" t="str">
        <v>Интер-Вильете</v>
      </c>
      <c r="E69" s="3">
        <f>-</f>
      </c>
      <c r="F69" s="3">
        <f>-</f>
      </c>
      <c r="G69" s="3">
        <f>-</f>
      </c>
      <c r="H69" s="3">
        <f>=ROUND((1000/((1000/E69) + (1000/f69))),2)</f>
      </c>
      <c r="I69" s="3">
        <f>=ROUND((1000/((1000/E69) + (1000/G69))),2)</f>
      </c>
      <c r="J69" s="3">
        <f>=ROUND((1000/((1000/F69) + (1000/G69))),2)</f>
      </c>
    </row>
    <row r="70" xml:space="preserve">
      <c r="A70" s="2" t="str">
        <v>01/05 ВС</v>
      </c>
      <c r="B70" s="2" t="str" xml:space="preserve">
        <v xml:space="preserve">19:00_x000d_
TKP</v>
      </c>
      <c r="C70" s="2" t="str">
        <v>АНГОЛА АНГОЛА</v>
      </c>
      <c r="D70" s="2" t="str">
        <v>Примейру де Агошту-Кабушкорп</v>
      </c>
      <c r="E70" s="3">
        <f>-</f>
      </c>
      <c r="F70" s="3">
        <f>-</f>
      </c>
      <c r="G70" s="3">
        <f>-</f>
      </c>
      <c r="H70" s="3">
        <f>=ROUND((1000/((1000/E70) + (1000/f70))),2)</f>
      </c>
      <c r="I70" s="3">
        <f>=ROUND((1000/((1000/E70) + (1000/G70))),2)</f>
      </c>
      <c r="J70" s="3">
        <f>=ROUND((1000/((1000/F70) + (1000/G70))),2)</f>
      </c>
    </row>
    <row r="71">
      <c r="A71" s="2" t="str">
        <v>01/05 ВС</v>
      </c>
      <c r="B71" s="2" t="str">
        <v>13:00</v>
      </c>
      <c r="C71" s="2" t="str">
        <v>АНДОРРА АНДОРРА</v>
      </c>
      <c r="D71" s="2" t="str">
        <v>Ордино-Каррой</v>
      </c>
      <c r="E71" s="3">
        <f>-</f>
      </c>
      <c r="F71" s="3">
        <f>-</f>
      </c>
      <c r="G71" s="3">
        <f>-</f>
      </c>
      <c r="H71" s="3">
        <f>=ROUND((1000/((1000/E71) + (1000/f71))),2)</f>
      </c>
      <c r="I71" s="3">
        <f>=ROUND((1000/((1000/E71) + (1000/G71))),2)</f>
      </c>
      <c r="J71" s="3">
        <f>=ROUND((1000/((1000/F71) + (1000/G71))),2)</f>
      </c>
    </row>
    <row r="72">
      <c r="A72" s="2" t="str">
        <v>01/05 ВС</v>
      </c>
      <c r="B72" s="2" t="str">
        <v>15:30</v>
      </c>
      <c r="C72" s="2" t="str">
        <v>АНДОРРА АНДОРРА</v>
      </c>
      <c r="D72" s="2" t="str">
        <v>УЕ Энгордани-Санта-Колома</v>
      </c>
      <c r="E72" s="3">
        <f>-</f>
      </c>
      <c r="F72" s="3">
        <f>-</f>
      </c>
      <c r="G72" s="3">
        <f>-</f>
      </c>
      <c r="H72" s="3">
        <f>=ROUND((1000/((1000/E72) + (1000/f72))),2)</f>
      </c>
      <c r="I72" s="3">
        <f>=ROUND((1000/((1000/E72) + (1000/G72))),2)</f>
      </c>
      <c r="J72" s="3">
        <f>=ROUND((1000/((1000/F72) + (1000/G72))),2)</f>
      </c>
    </row>
    <row r="73">
      <c r="A73" s="2" t="str">
        <v>01/05 ВС</v>
      </c>
      <c r="B73" s="2" t="str">
        <v>18:00</v>
      </c>
      <c r="C73" s="2" t="str">
        <v>АНДОРРА АНДОРРА</v>
      </c>
      <c r="D73" s="2" t="str">
        <v>Интер Клуб Эскальдес-Сант Джулия</v>
      </c>
      <c r="E73" s="3">
        <f>-</f>
      </c>
      <c r="F73" s="3">
        <f>-</f>
      </c>
      <c r="G73" s="3">
        <f>-</f>
      </c>
      <c r="H73" s="3">
        <f>=ROUND((1000/((1000/E73) + (1000/f73))),2)</f>
      </c>
      <c r="I73" s="3">
        <f>=ROUND((1000/((1000/E73) + (1000/G73))),2)</f>
      </c>
      <c r="J73" s="3">
        <f>=ROUND((1000/((1000/F73) + (1000/G73))),2)</f>
      </c>
    </row>
    <row r="74">
      <c r="A74" s="2" t="str">
        <v>01/05 ВС</v>
      </c>
      <c r="B74" s="2" t="str">
        <v>20:30</v>
      </c>
      <c r="C74" s="2" t="str">
        <v>АНДОРРА АНДОРРА</v>
      </c>
      <c r="D74" s="2" t="str">
        <v>Атлетик Эскальдес-УЕ Санта-Колома</v>
      </c>
      <c r="E74" s="3">
        <f>-</f>
      </c>
      <c r="F74" s="3">
        <f>-</f>
      </c>
      <c r="G74" s="3">
        <f>-</f>
      </c>
      <c r="H74" s="3">
        <f>=ROUND((1000/((1000/E74) + (1000/f74))),2)</f>
      </c>
      <c r="I74" s="3">
        <f>=ROUND((1000/((1000/E74) + (1000/G74))),2)</f>
      </c>
      <c r="J74" s="3">
        <f>=ROUND((1000/((1000/F74) + (1000/G74))),2)</f>
      </c>
    </row>
    <row r="75">
      <c r="A75" s="2" t="str">
        <v>01/05 ВС</v>
      </c>
      <c r="B75" s="2" t="str">
        <v>02:00</v>
      </c>
      <c r="C75" s="2" t="str">
        <v>АРГЕНТИНА АРГЕНТИНА</v>
      </c>
      <c r="D75" s="2" t="str">
        <v>Арсенал Саранди-Колон Санта Фе</v>
      </c>
      <c r="E75" s="3">
        <f>2.90</f>
      </c>
      <c r="F75" s="3">
        <f>3.00</f>
      </c>
      <c r="G75" s="3">
        <f>2.60</f>
      </c>
      <c r="H75" s="3">
        <f>=ROUND((1000/((1000/E75) + (1000/f75))),2)</f>
      </c>
      <c r="I75" s="3">
        <f>=ROUND((1000/((1000/E75) + (1000/G75))),2)</f>
      </c>
      <c r="J75" s="3">
        <f>=ROUND((1000/((1000/F75) + (1000/G75))),2)</f>
      </c>
    </row>
    <row r="76">
      <c r="A76" s="2" t="str">
        <v>01/05 ВС</v>
      </c>
      <c r="B76" s="2" t="str">
        <v>02:00</v>
      </c>
      <c r="C76" s="2" t="str">
        <v>АРГЕНТИНА АРГЕНТИНА</v>
      </c>
      <c r="D76" s="2" t="str">
        <v>Бока Хуниорс-Барракас Сентраль</v>
      </c>
      <c r="E76" s="3">
        <f>1.36</f>
      </c>
      <c r="F76" s="3">
        <f>5.25</f>
      </c>
      <c r="G76" s="3">
        <f>8.00</f>
      </c>
      <c r="H76" s="3">
        <f>=ROUND((1000/((1000/E76) + (1000/f76))),2)</f>
      </c>
      <c r="I76" s="3">
        <f>=ROUND((1000/((1000/E76) + (1000/G76))),2)</f>
      </c>
      <c r="J76" s="3">
        <f>=ROUND((1000/((1000/F76) + (1000/G76))),2)</f>
      </c>
    </row>
    <row r="77">
      <c r="A77" s="2" t="str">
        <v>01/05 ВС</v>
      </c>
      <c r="B77" s="2" t="str">
        <v>04:30</v>
      </c>
      <c r="C77" s="2" t="str">
        <v>АРГЕНТИНА АРГЕНТИНА</v>
      </c>
      <c r="D77" s="2" t="str">
        <v>Ланус-Индепендьенте</v>
      </c>
      <c r="E77" s="3">
        <f>2.80</f>
      </c>
      <c r="F77" s="3">
        <f>3.00</f>
      </c>
      <c r="G77" s="3">
        <f>2.75</f>
      </c>
      <c r="H77" s="3">
        <f>=ROUND((1000/((1000/E77) + (1000/f77))),2)</f>
      </c>
      <c r="I77" s="3">
        <f>=ROUND((1000/((1000/E77) + (1000/G77))),2)</f>
      </c>
      <c r="J77" s="3">
        <f>=ROUND((1000/((1000/F77) + (1000/G77))),2)</f>
      </c>
    </row>
    <row r="78">
      <c r="A78" s="2" t="str">
        <v>01/05 ВС</v>
      </c>
      <c r="B78" s="2" t="str">
        <v>04:30</v>
      </c>
      <c r="C78" s="2" t="str">
        <v>АРГЕНТИНА АРГЕНТИНА</v>
      </c>
      <c r="D78" s="2" t="str">
        <v>Сармьенто Жунин-Ривер Плейт</v>
      </c>
      <c r="E78" s="3">
        <f>6.50</f>
      </c>
      <c r="F78" s="3">
        <f>4.00</f>
      </c>
      <c r="G78" s="3">
        <f>1.53</f>
      </c>
      <c r="H78" s="3">
        <f>=ROUND((1000/((1000/E78) + (1000/f78))),2)</f>
      </c>
      <c r="I78" s="3">
        <f>=ROUND((1000/((1000/E78) + (1000/G78))),2)</f>
      </c>
      <c r="J78" s="3">
        <f>=ROUND((1000/((1000/F78) + (1000/G78))),2)</f>
      </c>
    </row>
    <row r="79">
      <c r="A79" s="2" t="str">
        <v>01/05 ВС</v>
      </c>
      <c r="B79" s="2" t="str">
        <v>01:00</v>
      </c>
      <c r="C79" s="2" t="str">
        <v>АРГЕНТИНА АРГЕНТИНА</v>
      </c>
      <c r="D79" s="2" t="str">
        <v>Индепендьенте Ривадавия-Чакарита Хуниорс</v>
      </c>
      <c r="E79" s="3">
        <f>2.05</f>
      </c>
      <c r="F79" s="3">
        <f>3.20</f>
      </c>
      <c r="G79" s="3">
        <f>4.00</f>
      </c>
      <c r="H79" s="3">
        <f>=ROUND((1000/((1000/E79) + (1000/f79))),2)</f>
      </c>
      <c r="I79" s="3">
        <f>=ROUND((1000/((1000/E79) + (1000/G79))),2)</f>
      </c>
      <c r="J79" s="3">
        <f>=ROUND((1000/((1000/F79) + (1000/G79))),2)</f>
      </c>
    </row>
    <row r="80">
      <c r="A80" s="2" t="str">
        <v>01/05 ВС</v>
      </c>
      <c r="B80" s="2" t="str">
        <v>02:00</v>
      </c>
      <c r="C80" s="2" t="str">
        <v>АРГЕНТИНА АРГЕНТИНА</v>
      </c>
      <c r="D80" s="2" t="str">
        <v>Химнасия Хухуй-Клуб А. Гермес</v>
      </c>
      <c r="E80" s="3">
        <f>2.62</f>
      </c>
      <c r="F80" s="3">
        <f>2.80</f>
      </c>
      <c r="G80" s="3">
        <f>3.20</f>
      </c>
      <c r="H80" s="3">
        <f>=ROUND((1000/((1000/E80) + (1000/f80))),2)</f>
      </c>
      <c r="I80" s="3">
        <f>=ROUND((1000/((1000/E80) + (1000/G80))),2)</f>
      </c>
      <c r="J80" s="3">
        <f>=ROUND((1000/((1000/F80) + (1000/G80))),2)</f>
      </c>
    </row>
    <row r="81">
      <c r="A81" s="2" t="str">
        <v>01/05 ВС</v>
      </c>
      <c r="B81" s="2" t="str">
        <v>02:30</v>
      </c>
      <c r="C81" s="2" t="str">
        <v>АРГЕНТИНА АРГЕНТИНА</v>
      </c>
      <c r="D81" s="2" t="str">
        <v>Альварадо-Атлетико Атланта</v>
      </c>
      <c r="E81" s="3">
        <f>3.10</f>
      </c>
      <c r="F81" s="3">
        <f>3.00</f>
      </c>
      <c r="G81" s="3">
        <f>2.50</f>
      </c>
      <c r="H81" s="3">
        <f>=ROUND((1000/((1000/E81) + (1000/f81))),2)</f>
      </c>
      <c r="I81" s="3">
        <f>=ROUND((1000/((1000/E81) + (1000/G81))),2)</f>
      </c>
      <c r="J81" s="3">
        <f>=ROUND((1000/((1000/F81) + (1000/G81))),2)</f>
      </c>
    </row>
    <row r="82">
      <c r="A82" s="2" t="str">
        <v>01/05 ВС</v>
      </c>
      <c r="B82" s="2" t="str">
        <v>04:00</v>
      </c>
      <c r="C82" s="2" t="str">
        <v>АРГЕНТИНА АРГЕНТИНА</v>
      </c>
      <c r="D82" s="2" t="str">
        <v>Институто-Тристан Суарес</v>
      </c>
      <c r="E82" s="3">
        <f>1.72</f>
      </c>
      <c r="F82" s="3">
        <f>3.40</f>
      </c>
      <c r="G82" s="3">
        <f>5.50</f>
      </c>
      <c r="H82" s="3">
        <f>=ROUND((1000/((1000/E82) + (1000/f82))),2)</f>
      </c>
      <c r="I82" s="3">
        <f>=ROUND((1000/((1000/E82) + (1000/G82))),2)</f>
      </c>
      <c r="J82" s="3">
        <f>=ROUND((1000/((1000/F82) + (1000/G82))),2)</f>
      </c>
    </row>
    <row r="83">
      <c r="A83" s="2" t="str">
        <v>01/05 ВС</v>
      </c>
      <c r="B83" s="2" t="str">
        <v>04:15</v>
      </c>
      <c r="C83" s="2" t="str">
        <v>АРГЕНТИНА АРГЕНТИНА</v>
      </c>
      <c r="D83" s="2" t="str">
        <v>Альмиранте Браун-Депортиво Риестра</v>
      </c>
      <c r="E83" s="3">
        <f>2.30</f>
      </c>
      <c r="F83" s="3">
        <f>2.80</f>
      </c>
      <c r="G83" s="3">
        <f>3.75</f>
      </c>
      <c r="H83" s="3">
        <f>=ROUND((1000/((1000/E83) + (1000/f83))),2)</f>
      </c>
      <c r="I83" s="3">
        <f>=ROUND((1000/((1000/E83) + (1000/G83))),2)</f>
      </c>
      <c r="J83" s="3">
        <f>=ROUND((1000/((1000/F83) + (1000/G83))),2)</f>
      </c>
    </row>
    <row r="84">
      <c r="A84" s="2" t="str">
        <v>01/05 ВС</v>
      </c>
      <c r="B84" s="2" t="str">
        <v>00:00</v>
      </c>
      <c r="C84" s="2" t="str">
        <v>АРГЕНТИНА АРГЕНТИНА</v>
      </c>
      <c r="D84" s="2" t="str">
        <v>Унион Сунчалес-Деф. Пронунсиаменто</v>
      </c>
      <c r="E84" s="3">
        <f>-</f>
      </c>
      <c r="F84" s="3">
        <f>-</f>
      </c>
      <c r="G84" s="3">
        <f>-</f>
      </c>
      <c r="H84" s="3">
        <f>=ROUND((1000/((1000/E84) + (1000/f84))),2)</f>
      </c>
      <c r="I84" s="3">
        <f>=ROUND((1000/((1000/E84) + (1000/G84))),2)</f>
      </c>
      <c r="J84" s="3">
        <f>=ROUND((1000/((1000/F84) + (1000/G84))),2)</f>
      </c>
    </row>
    <row r="85">
      <c r="A85" s="2" t="str">
        <v>01/05 ВС</v>
      </c>
      <c r="B85" s="2" t="str">
        <v>01:30</v>
      </c>
      <c r="C85" s="2" t="str">
        <v>АРГЕНТИНА АРГЕНТИНА</v>
      </c>
      <c r="D85" s="2" t="str">
        <v>Вилла Митре-Десампарадос</v>
      </c>
      <c r="E85" s="3">
        <f>-</f>
      </c>
      <c r="F85" s="3">
        <f>-</f>
      </c>
      <c r="G85" s="3">
        <f>-</f>
      </c>
      <c r="H85" s="3">
        <f>=ROUND((1000/((1000/E85) + (1000/f85))),2)</f>
      </c>
      <c r="I85" s="3">
        <f>=ROUND((1000/((1000/E85) + (1000/G85))),2)</f>
      </c>
      <c r="J85" s="3">
        <f>=ROUND((1000/((1000/F85) + (1000/G85))),2)</f>
      </c>
    </row>
    <row r="86">
      <c r="A86" s="2" t="str">
        <v>01/05 ВС</v>
      </c>
      <c r="B86" s="2" t="str">
        <v>02:00</v>
      </c>
      <c r="C86" s="2" t="str">
        <v>АРГЕНТИНА АРГЕНТИНА</v>
      </c>
      <c r="D86" s="2" t="str">
        <v>Атлетико Парана-Централ Норте</v>
      </c>
      <c r="E86" s="3">
        <f>-</f>
      </c>
      <c r="F86" s="3">
        <f>-</f>
      </c>
      <c r="G86" s="3">
        <f>-</f>
      </c>
      <c r="H86" s="3">
        <f>=ROUND((1000/((1000/E86) + (1000/f86))),2)</f>
      </c>
      <c r="I86" s="3">
        <f>=ROUND((1000/((1000/E86) + (1000/G86))),2)</f>
      </c>
      <c r="J86" s="3">
        <f>=ROUND((1000/((1000/F86) + (1000/G86))),2)</f>
      </c>
    </row>
    <row r="87">
      <c r="A87" s="2" t="str">
        <v>01/05 ВС</v>
      </c>
      <c r="B87" s="2" t="str">
        <v>04:00</v>
      </c>
      <c r="C87" s="2" t="str">
        <v>АРГЕНТИНА АРГЕНТИНА</v>
      </c>
      <c r="D87" s="2" t="str">
        <v>Бока Юнидос-Спортиво Бельграно</v>
      </c>
      <c r="E87" s="3">
        <f>-</f>
      </c>
      <c r="F87" s="3">
        <f>-</f>
      </c>
      <c r="G87" s="3">
        <f>-</f>
      </c>
      <c r="H87" s="3">
        <f>=ROUND((1000/((1000/E87) + (1000/f87))),2)</f>
      </c>
      <c r="I87" s="3">
        <f>=ROUND((1000/((1000/E87) + (1000/G87))),2)</f>
      </c>
      <c r="J87" s="3">
        <f>=ROUND((1000/((1000/F87) + (1000/G87))),2)</f>
      </c>
    </row>
    <row r="88">
      <c r="A88" s="2" t="str">
        <v>01/05 ВС</v>
      </c>
      <c r="B88" s="2" t="str">
        <v>02:10</v>
      </c>
      <c r="C88" s="2" t="str">
        <v>АРГЕНТИНА АРГЕНТИНА</v>
      </c>
      <c r="D88" s="2" t="str">
        <v>Итусаинго-Кануэлас</v>
      </c>
      <c r="E88" s="3">
        <f>-</f>
      </c>
      <c r="F88" s="3">
        <f>-</f>
      </c>
      <c r="G88" s="3">
        <f>-</f>
      </c>
      <c r="H88" s="3">
        <f>=ROUND((1000/((1000/E88) + (1000/f88))),2)</f>
      </c>
      <c r="I88" s="3">
        <f>=ROUND((1000/((1000/E88) + (1000/G88))),2)</f>
      </c>
      <c r="J88" s="3">
        <f>=ROUND((1000/((1000/F88) + (1000/G88))),2)</f>
      </c>
    </row>
    <row r="89" xml:space="preserve">
      <c r="A89" s="2" t="str">
        <v>01/05 ВС</v>
      </c>
      <c r="B89" s="2" t="str" xml:space="preserve">
        <v xml:space="preserve">17:30_x000d_
TKP</v>
      </c>
      <c r="C89" s="2" t="str">
        <v>АРМЕНИЯ АРМЕНИЯ</v>
      </c>
      <c r="D89" s="2" t="str">
        <v>Алашкерт 2-Пюник 2</v>
      </c>
      <c r="E89" s="3">
        <f>-</f>
      </c>
      <c r="F89" s="3">
        <f>-</f>
      </c>
      <c r="G89" s="3">
        <f>-</f>
      </c>
      <c r="H89" s="3">
        <f>=ROUND((1000/((1000/E89) + (1000/f89))),2)</f>
      </c>
      <c r="I89" s="3">
        <f>=ROUND((1000/((1000/E89) + (1000/G89))),2)</f>
      </c>
      <c r="J89" s="3">
        <f>=ROUND((1000/((1000/F89) + (1000/G89))),2)</f>
      </c>
    </row>
    <row r="90" xml:space="preserve">
      <c r="A90" s="2" t="str">
        <v>01/05 ВС</v>
      </c>
      <c r="B90" s="2" t="str" xml:space="preserve">
        <v xml:space="preserve">02:30_x000d_
TKP</v>
      </c>
      <c r="C90" s="2" t="str">
        <v>АРУБА АРУБА</v>
      </c>
      <c r="D90" s="2" t="str">
        <v>Юнайтед-Ривер Плейт</v>
      </c>
      <c r="E90" s="3">
        <f>-</f>
      </c>
      <c r="F90" s="3">
        <f>-</f>
      </c>
      <c r="G90" s="3">
        <f>-</f>
      </c>
      <c r="H90" s="3">
        <f>=ROUND((1000/((1000/E90) + (1000/f90))),2)</f>
      </c>
      <c r="I90" s="3">
        <f>=ROUND((1000/((1000/E90) + (1000/G90))),2)</f>
      </c>
      <c r="J90" s="3">
        <f>=ROUND((1000/((1000/F90) + (1000/G90))),2)</f>
      </c>
    </row>
    <row r="91" xml:space="preserve">
      <c r="A91" s="2" t="str">
        <v>01/05 ВС</v>
      </c>
      <c r="B91" s="2" t="str" xml:space="preserve">
        <v xml:space="preserve">04:30_x000d_
TKP</v>
      </c>
      <c r="C91" s="2" t="str">
        <v>АРУБА АРУБА</v>
      </c>
      <c r="D91" s="2" t="str">
        <v>Дакота-Британниа</v>
      </c>
      <c r="E91" s="3">
        <f>-</f>
      </c>
      <c r="F91" s="3">
        <f>-</f>
      </c>
      <c r="G91" s="3">
        <f>-</f>
      </c>
      <c r="H91" s="3">
        <f>=ROUND((1000/((1000/E91) + (1000/f91))),2)</f>
      </c>
      <c r="I91" s="3">
        <f>=ROUND((1000/((1000/E91) + (1000/G91))),2)</f>
      </c>
      <c r="J91" s="3">
        <f>=ROUND((1000/((1000/F91) + (1000/G91))),2)</f>
      </c>
    </row>
    <row r="92">
      <c r="A92" s="2" t="str">
        <v>01/05 ВС</v>
      </c>
      <c r="B92" s="2" t="str">
        <v>13:30</v>
      </c>
      <c r="C92" s="2" t="str">
        <v>БАНГЛАДЕШ БАНГЛАДЕШ</v>
      </c>
      <c r="D92" s="2" t="str">
        <v>Мохаммедан Дакка-Свадхината</v>
      </c>
      <c r="E92" s="3">
        <f>-</f>
      </c>
      <c r="F92" s="3">
        <f>-</f>
      </c>
      <c r="G92" s="3">
        <f>-</f>
      </c>
      <c r="H92" s="3">
        <f>=ROUND((1000/((1000/E92) + (1000/f92))),2)</f>
      </c>
      <c r="I92" s="3">
        <f>=ROUND((1000/((1000/E92) + (1000/G92))),2)</f>
      </c>
      <c r="J92" s="3">
        <f>=ROUND((1000/((1000/F92) + (1000/G92))),2)</f>
      </c>
    </row>
    <row r="93">
      <c r="A93" s="2" t="str">
        <v>01/05 ВС</v>
      </c>
      <c r="B93" s="2" t="str">
        <v>17:00</v>
      </c>
      <c r="C93" s="2" t="str">
        <v>БЕЛАРУСЬ БЕЛАРУСЬ</v>
      </c>
      <c r="D93" s="2" t="str">
        <v>Ислочь-Минск</v>
      </c>
      <c r="E93" s="3">
        <f>-</f>
      </c>
      <c r="F93" s="3">
        <f>-</f>
      </c>
      <c r="G93" s="3">
        <f>-</f>
      </c>
      <c r="H93" s="3">
        <f>=ROUND((1000/((1000/E93) + (1000/f93))),2)</f>
      </c>
      <c r="I93" s="3">
        <f>=ROUND((1000/((1000/E93) + (1000/G93))),2)</f>
      </c>
      <c r="J93" s="3">
        <f>=ROUND((1000/((1000/F93) + (1000/G93))),2)</f>
      </c>
    </row>
    <row r="94">
      <c r="A94" s="2" t="str">
        <v>01/05 ВС</v>
      </c>
      <c r="B94" s="2" t="str">
        <v>21:30</v>
      </c>
      <c r="C94" s="2" t="str">
        <v>БЕЛАРУСЬ БЕЛАРУСЬ</v>
      </c>
      <c r="D94" s="2" t="str">
        <v>Динамо Брест-Арсенал Дзержинск</v>
      </c>
      <c r="E94" s="3">
        <f>-</f>
      </c>
      <c r="F94" s="3">
        <f>-</f>
      </c>
      <c r="G94" s="3">
        <f>-</f>
      </c>
      <c r="H94" s="3">
        <f>=ROUND((1000/((1000/E94) + (1000/f94))),2)</f>
      </c>
      <c r="I94" s="3">
        <f>=ROUND((1000/((1000/E94) + (1000/G94))),2)</f>
      </c>
      <c r="J94" s="3">
        <f>=ROUND((1000/((1000/F94) + (1000/G94))),2)</f>
      </c>
    </row>
    <row r="95">
      <c r="A95" s="2" t="str">
        <v>01/05 ВС</v>
      </c>
      <c r="B95" s="2" t="str">
        <v>15:00</v>
      </c>
      <c r="C95" s="2" t="str">
        <v>БЕЛАРУСЬ БЕЛАРУСЬ</v>
      </c>
      <c r="D95" s="2" t="str">
        <v>Барановичи-Maxline Rogachev</v>
      </c>
      <c r="E95" s="3">
        <f>-</f>
      </c>
      <c r="F95" s="3">
        <f>-</f>
      </c>
      <c r="G95" s="3">
        <f>-</f>
      </c>
      <c r="H95" s="3">
        <f>=ROUND((1000/((1000/E95) + (1000/f95))),2)</f>
      </c>
      <c r="I95" s="3">
        <f>=ROUND((1000/((1000/E95) + (1000/G95))),2)</f>
      </c>
      <c r="J95" s="3">
        <f>=ROUND((1000/((1000/F95) + (1000/G95))),2)</f>
      </c>
    </row>
    <row r="96">
      <c r="A96" s="2" t="str">
        <v>01/05 ВС</v>
      </c>
      <c r="B96" s="2" t="str">
        <v>17:00</v>
      </c>
      <c r="C96" s="2" t="str">
        <v>БЕЛАРУСЬ БЕЛАРУСЬ</v>
      </c>
      <c r="D96" s="2" t="str">
        <v>Лида-Орша</v>
      </c>
      <c r="E96" s="3">
        <f>-</f>
      </c>
      <c r="F96" s="3">
        <f>-</f>
      </c>
      <c r="G96" s="3">
        <f>-</f>
      </c>
      <c r="H96" s="3">
        <f>=ROUND((1000/((1000/E96) + (1000/f96))),2)</f>
      </c>
      <c r="I96" s="3">
        <f>=ROUND((1000/((1000/E96) + (1000/G96))),2)</f>
      </c>
      <c r="J96" s="3">
        <f>=ROUND((1000/((1000/F96) + (1000/G96))),2)</f>
      </c>
    </row>
    <row r="97">
      <c r="A97" s="2" t="str">
        <v>01/05 ВС</v>
      </c>
      <c r="B97" s="2" t="str">
        <v>19:00</v>
      </c>
      <c r="C97" s="2" t="str">
        <v>БЕЛАРУСЬ БЕЛАРУСЬ</v>
      </c>
      <c r="D97" s="2" t="str">
        <v>Петриков-Сморгонь</v>
      </c>
      <c r="E97" s="3">
        <f>-</f>
      </c>
      <c r="F97" s="3">
        <f>-</f>
      </c>
      <c r="G97" s="3">
        <f>-</f>
      </c>
      <c r="H97" s="3">
        <f>=ROUND((1000/((1000/E97) + (1000/f97))),2)</f>
      </c>
      <c r="I97" s="3">
        <f>=ROUND((1000/((1000/E97) + (1000/G97))),2)</f>
      </c>
      <c r="J97" s="3">
        <f>=ROUND((1000/((1000/F97) + (1000/G97))),2)</f>
      </c>
    </row>
    <row r="98">
      <c r="A98" s="2" t="str">
        <v>01/05 ВС</v>
      </c>
      <c r="B98" s="2" t="str">
        <v>14:00</v>
      </c>
      <c r="C98" s="2" t="str">
        <v>БЕЛАРУСЬ БЕЛАРУСЬ</v>
      </c>
      <c r="D98" s="2" t="str">
        <v>Слуцк 2-Славия Мозырь 2</v>
      </c>
      <c r="E98" s="3">
        <f>-</f>
      </c>
      <c r="F98" s="3">
        <f>-</f>
      </c>
      <c r="G98" s="3">
        <f>-</f>
      </c>
      <c r="H98" s="3">
        <f>=ROUND((1000/((1000/E98) + (1000/f98))),2)</f>
      </c>
      <c r="I98" s="3">
        <f>=ROUND((1000/((1000/E98) + (1000/G98))),2)</f>
      </c>
      <c r="J98" s="3">
        <f>=ROUND((1000/((1000/F98) + (1000/G98))),2)</f>
      </c>
    </row>
    <row r="99">
      <c r="A99" s="2" t="str">
        <v>01/05 ВС</v>
      </c>
      <c r="B99" s="2" t="str">
        <v>14:00</v>
      </c>
      <c r="C99" s="2" t="str">
        <v>БЕЛАРУСЬ БЕЛАРУСЬ</v>
      </c>
      <c r="D99" s="2" t="str">
        <v>Торпедо-БелАЗ 2-Белшина 2</v>
      </c>
      <c r="E99" s="3">
        <f>-</f>
      </c>
      <c r="F99" s="3">
        <f>-</f>
      </c>
      <c r="G99" s="3">
        <f>-</f>
      </c>
      <c r="H99" s="3">
        <f>=ROUND((1000/((1000/E99) + (1000/f99))),2)</f>
      </c>
      <c r="I99" s="3">
        <f>=ROUND((1000/((1000/E99) + (1000/G99))),2)</f>
      </c>
      <c r="J99" s="3">
        <f>=ROUND((1000/((1000/F99) + (1000/G99))),2)</f>
      </c>
    </row>
    <row r="100">
      <c r="A100" s="2" t="str">
        <v>01/05 ВС</v>
      </c>
      <c r="B100" s="2" t="str">
        <v>15:30</v>
      </c>
      <c r="C100" s="2" t="str">
        <v>БЕЛЬГИЯ БЕЛЬГИЯ</v>
      </c>
      <c r="D100" s="2" t="str">
        <v>Антверпен-Юнион Сент-Жиллуа</v>
      </c>
      <c r="E100" s="3">
        <f>3.25</f>
      </c>
      <c r="F100" s="3">
        <f>3.25</f>
      </c>
      <c r="G100" s="3">
        <f>2.05</f>
      </c>
      <c r="H100" s="3">
        <f>=ROUND((1000/((1000/E100) + (1000/f100))),2)</f>
      </c>
      <c r="I100" s="3">
        <f>=ROUND((1000/((1000/E100) + (1000/G100))),2)</f>
      </c>
      <c r="J100" s="3">
        <f>=ROUND((1000/((1000/F100) + (1000/G100))),2)</f>
      </c>
    </row>
    <row r="101">
      <c r="A101" s="2" t="str">
        <v>01/05 ВС</v>
      </c>
      <c r="B101" s="2" t="str">
        <v>20:30</v>
      </c>
      <c r="C101" s="2" t="str">
        <v>БЕЛЬГИЯ БЕЛЬГИЯ</v>
      </c>
      <c r="D101" s="2" t="str">
        <v>Андерлехт-Брюгге</v>
      </c>
      <c r="E101" s="3">
        <f>2.37</f>
      </c>
      <c r="F101" s="3">
        <f>3.20</f>
      </c>
      <c r="G101" s="3">
        <f>2.70</f>
      </c>
      <c r="H101" s="3">
        <f>=ROUND((1000/((1000/E101) + (1000/f101))),2)</f>
      </c>
      <c r="I101" s="3">
        <f>=ROUND((1000/((1000/E101) + (1000/G101))),2)</f>
      </c>
      <c r="J101" s="3">
        <f>=ROUND((1000/((1000/F101) + (1000/G101))),2)</f>
      </c>
    </row>
    <row r="102" xml:space="preserve">
      <c r="A102" s="2" t="str">
        <v>01/05 ВС</v>
      </c>
      <c r="B102" s="2" t="str" xml:space="preserve">
        <v xml:space="preserve">17:00_x000d_
TKP</v>
      </c>
      <c r="C102" s="2" t="str">
        <v>БЕЛЬГИЯ БЕЛЬГИЯ</v>
      </c>
      <c r="D102" s="2" t="str">
        <v>Акран-РААЛ Ла Лувирье</v>
      </c>
      <c r="E102" s="3">
        <f>-</f>
      </c>
      <c r="F102" s="3">
        <f>-</f>
      </c>
      <c r="G102" s="3">
        <f>-</f>
      </c>
      <c r="H102" s="3">
        <f>=ROUND((1000/((1000/E102) + (1000/f102))),2)</f>
      </c>
      <c r="I102" s="3">
        <f>=ROUND((1000/((1000/E102) + (1000/G102))),2)</f>
      </c>
      <c r="J102" s="3">
        <f>=ROUND((1000/((1000/F102) + (1000/G102))),2)</f>
      </c>
    </row>
    <row r="103" xml:space="preserve">
      <c r="A103" s="2" t="str">
        <v>01/05 ВС</v>
      </c>
      <c r="B103" s="2" t="str" xml:space="preserve">
        <v xml:space="preserve">17:00_x000d_
TKP</v>
      </c>
      <c r="C103" s="2" t="str">
        <v>БЕЛЬГИЯ БЕЛЬГИЯ</v>
      </c>
      <c r="D103" s="2" t="str">
        <v>Амуар-Стоке-Варфюзе</v>
      </c>
      <c r="E103" s="3">
        <f>-</f>
      </c>
      <c r="F103" s="3">
        <f>-</f>
      </c>
      <c r="G103" s="3">
        <f>-</f>
      </c>
      <c r="H103" s="3">
        <f>=ROUND((1000/((1000/E103) + (1000/f103))),2)</f>
      </c>
      <c r="I103" s="3">
        <f>=ROUND((1000/((1000/E103) + (1000/G103))),2)</f>
      </c>
      <c r="J103" s="3">
        <f>=ROUND((1000/((1000/F103) + (1000/G103))),2)</f>
      </c>
    </row>
    <row r="104" xml:space="preserve">
      <c r="A104" s="2" t="str">
        <v>01/05 ВС</v>
      </c>
      <c r="B104" s="2" t="str" xml:space="preserve">
        <v xml:space="preserve">17:00_x000d_
TKP</v>
      </c>
      <c r="C104" s="2" t="str">
        <v>БЕЛЬГИЯ БЕЛЬГИЯ</v>
      </c>
      <c r="D104" s="2" t="str">
        <v>Варнант-Энтренте Дурби</v>
      </c>
      <c r="E104" s="3">
        <f>-</f>
      </c>
      <c r="F104" s="3">
        <f>-</f>
      </c>
      <c r="G104" s="3">
        <f>-</f>
      </c>
      <c r="H104" s="3">
        <f>=ROUND((1000/((1000/E104) + (1000/f104))),2)</f>
      </c>
      <c r="I104" s="3">
        <f>=ROUND((1000/((1000/E104) + (1000/G104))),2)</f>
      </c>
      <c r="J104" s="3">
        <f>=ROUND((1000/((1000/F104) + (1000/G104))),2)</f>
      </c>
    </row>
    <row r="105" xml:space="preserve">
      <c r="A105" s="2" t="str">
        <v>01/05 ВС</v>
      </c>
      <c r="B105" s="2" t="str" xml:space="preserve">
        <v xml:space="preserve">17:00_x000d_
TKP</v>
      </c>
      <c r="C105" s="2" t="str">
        <v>БЕЛЬГИЯ БЕЛЬГИЯ</v>
      </c>
      <c r="D105" s="2" t="str">
        <v>Живри-Верлен</v>
      </c>
      <c r="E105" s="3">
        <f>-</f>
      </c>
      <c r="F105" s="3">
        <f>-</f>
      </c>
      <c r="G105" s="3">
        <f>-</f>
      </c>
      <c r="H105" s="3">
        <f>=ROUND((1000/((1000/E105) + (1000/f105))),2)</f>
      </c>
      <c r="I105" s="3">
        <f>=ROUND((1000/((1000/E105) + (1000/G105))),2)</f>
      </c>
      <c r="J105" s="3">
        <f>=ROUND((1000/((1000/F105) + (1000/G105))),2)</f>
      </c>
    </row>
    <row r="106" xml:space="preserve">
      <c r="A106" s="2" t="str">
        <v>01/05 ВС</v>
      </c>
      <c r="B106" s="2" t="str" xml:space="preserve">
        <v xml:space="preserve">17:00_x000d_
TKP</v>
      </c>
      <c r="C106" s="2" t="str">
        <v>БЕЛЬГИЯ БЕЛЬГИЯ</v>
      </c>
      <c r="D106" s="2" t="str">
        <v>Кувен-Мариамбур-Жет</v>
      </c>
      <c r="E106" s="3">
        <f>-</f>
      </c>
      <c r="F106" s="3">
        <f>-</f>
      </c>
      <c r="G106" s="3">
        <f>-</f>
      </c>
      <c r="H106" s="3">
        <f>=ROUND((1000/((1000/E106) + (1000/f106))),2)</f>
      </c>
      <c r="I106" s="3">
        <f>=ROUND((1000/((1000/E106) + (1000/G106))),2)</f>
      </c>
      <c r="J106" s="3">
        <f>=ROUND((1000/((1000/F106) + (1000/G106))),2)</f>
      </c>
    </row>
    <row r="107" xml:space="preserve">
      <c r="A107" s="2" t="str">
        <v>01/05 ВС</v>
      </c>
      <c r="B107" s="2" t="str" xml:space="preserve">
        <v xml:space="preserve">17:00_x000d_
TKP</v>
      </c>
      <c r="C107" s="2" t="str">
        <v>БЕЛЬГИЯ БЕЛЬГИЯ</v>
      </c>
      <c r="D107" s="2" t="str">
        <v>Ребекуаз-Тьюбиц</v>
      </c>
      <c r="E107" s="3">
        <f>-</f>
      </c>
      <c r="F107" s="3">
        <f>-</f>
      </c>
      <c r="G107" s="3">
        <f>-</f>
      </c>
      <c r="H107" s="3">
        <f>=ROUND((1000/((1000/E107) + (1000/f107))),2)</f>
      </c>
      <c r="I107" s="3">
        <f>=ROUND((1000/((1000/E107) + (1000/G107))),2)</f>
      </c>
      <c r="J107" s="3">
        <f>=ROUND((1000/((1000/F107) + (1000/G107))),2)</f>
      </c>
    </row>
    <row r="108" xml:space="preserve">
      <c r="A108" s="2" t="str">
        <v>01/05 ВС</v>
      </c>
      <c r="B108" s="2" t="str" xml:space="preserve">
        <v xml:space="preserve">17:00_x000d_
TKP</v>
      </c>
      <c r="C108" s="2" t="str">
        <v>БЕЛЬГИЯ БЕЛЬГИЯ</v>
      </c>
      <c r="D108" s="2" t="str">
        <v>Сольер Спорт-Гансхорен</v>
      </c>
      <c r="E108" s="3">
        <f>-</f>
      </c>
      <c r="F108" s="3">
        <f>-</f>
      </c>
      <c r="G108" s="3">
        <f>-</f>
      </c>
      <c r="H108" s="3">
        <f>=ROUND((1000/((1000/E108) + (1000/f108))),2)</f>
      </c>
      <c r="I108" s="3">
        <f>=ROUND((1000/((1000/E108) + (1000/G108))),2)</f>
      </c>
      <c r="J108" s="3">
        <f>=ROUND((1000/((1000/F108) + (1000/G108))),2)</f>
      </c>
    </row>
    <row r="109" xml:space="preserve">
      <c r="A109" s="2" t="str">
        <v>01/05 ВС</v>
      </c>
      <c r="B109" s="2" t="str" xml:space="preserve">
        <v xml:space="preserve">17:30_x000d_
TKP</v>
      </c>
      <c r="C109" s="2" t="str">
        <v>БЕЛЬГИЯ БЕЛЬГИЯ</v>
      </c>
      <c r="D109" s="2" t="str">
        <v>Мё-Варем</v>
      </c>
      <c r="E109" s="3">
        <f>-</f>
      </c>
      <c r="F109" s="3">
        <f>-</f>
      </c>
      <c r="G109" s="3">
        <f>-</f>
      </c>
      <c r="H109" s="3">
        <f>=ROUND((1000/((1000/E109) + (1000/f109))),2)</f>
      </c>
      <c r="I109" s="3">
        <f>=ROUND((1000/((1000/E109) + (1000/G109))),2)</f>
      </c>
      <c r="J109" s="3">
        <f>=ROUND((1000/((1000/F109) + (1000/G109))),2)</f>
      </c>
    </row>
    <row r="110" xml:space="preserve">
      <c r="A110" s="2" t="str">
        <v>01/05 ВС</v>
      </c>
      <c r="B110" s="2" t="str" xml:space="preserve">
        <v xml:space="preserve">17:00_x000d_
TKP</v>
      </c>
      <c r="C110" s="2" t="str">
        <v>БЕЛЬГИЯ БЕЛЬГИЯ</v>
      </c>
      <c r="D110" s="2" t="str">
        <v>Ауденарде-Петегем</v>
      </c>
      <c r="E110" s="3">
        <f>-</f>
      </c>
      <c r="F110" s="3">
        <f>-</f>
      </c>
      <c r="G110" s="3">
        <f>-</f>
      </c>
      <c r="H110" s="3">
        <f>=ROUND((1000/((1000/E110) + (1000/f110))),2)</f>
      </c>
      <c r="I110" s="3">
        <f>=ROUND((1000/((1000/E110) + (1000/G110))),2)</f>
      </c>
      <c r="J110" s="3">
        <f>=ROUND((1000/((1000/F110) + (1000/G110))),2)</f>
      </c>
    </row>
    <row r="111" xml:space="preserve">
      <c r="A111" s="2" t="str">
        <v>01/05 ВС</v>
      </c>
      <c r="B111" s="2" t="str" xml:space="preserve">
        <v xml:space="preserve">17:00_x000d_
TKP</v>
      </c>
      <c r="C111" s="2" t="str">
        <v>БЕЛЬГИЯ БЕЛЬГИЯ</v>
      </c>
      <c r="D111" s="2" t="str">
        <v>Вестхук-Олса Бракел</v>
      </c>
      <c r="E111" s="3">
        <f>-</f>
      </c>
      <c r="F111" s="3">
        <f>-</f>
      </c>
      <c r="G111" s="3">
        <f>-</f>
      </c>
      <c r="H111" s="3">
        <f>=ROUND((1000/((1000/E111) + (1000/f111))),2)</f>
      </c>
      <c r="I111" s="3">
        <f>=ROUND((1000/((1000/E111) + (1000/G111))),2)</f>
      </c>
      <c r="J111" s="3">
        <f>=ROUND((1000/((1000/F111) + (1000/G111))),2)</f>
      </c>
    </row>
    <row r="112" xml:space="preserve">
      <c r="A112" s="2" t="str">
        <v>01/05 ВС</v>
      </c>
      <c r="B112" s="2" t="str" xml:space="preserve">
        <v xml:space="preserve">17:00_x000d_
TKP</v>
      </c>
      <c r="C112" s="2" t="str">
        <v>БЕЛЬГИЯ БЕЛЬГИЯ</v>
      </c>
      <c r="D112" s="2" t="str">
        <v>Диккелвенне-Веттерен</v>
      </c>
      <c r="E112" s="3">
        <f>-</f>
      </c>
      <c r="F112" s="3">
        <f>-</f>
      </c>
      <c r="G112" s="3">
        <f>-</f>
      </c>
      <c r="H112" s="3">
        <f>=ROUND((1000/((1000/E112) + (1000/f112))),2)</f>
      </c>
      <c r="I112" s="3">
        <f>=ROUND((1000/((1000/E112) + (1000/G112))),2)</f>
      </c>
      <c r="J112" s="3">
        <f>=ROUND((1000/((1000/F112) + (1000/G112))),2)</f>
      </c>
    </row>
    <row r="113" xml:space="preserve">
      <c r="A113" s="2" t="str">
        <v>01/05 ВС</v>
      </c>
      <c r="B113" s="2" t="str" xml:space="preserve">
        <v xml:space="preserve">17:00_x000d_
TKP</v>
      </c>
      <c r="C113" s="2" t="str">
        <v>БЕЛЬГИЯ БЕЛЬГИЯ</v>
      </c>
      <c r="D113" s="2" t="str">
        <v>Звевезеле-Менен</v>
      </c>
      <c r="E113" s="3">
        <f>-</f>
      </c>
      <c r="F113" s="3">
        <f>-</f>
      </c>
      <c r="G113" s="3">
        <f>-</f>
      </c>
      <c r="H113" s="3">
        <f>=ROUND((1000/((1000/E113) + (1000/f113))),2)</f>
      </c>
      <c r="I113" s="3">
        <f>=ROUND((1000/((1000/E113) + (1000/G113))),2)</f>
      </c>
      <c r="J113" s="3">
        <f>=ROUND((1000/((1000/F113) + (1000/G113))),2)</f>
      </c>
    </row>
    <row r="114" xml:space="preserve">
      <c r="A114" s="2" t="str">
        <v>01/05 ВС</v>
      </c>
      <c r="B114" s="2" t="str" xml:space="preserve">
        <v xml:space="preserve">17:00_x000d_
TKP</v>
      </c>
      <c r="C114" s="2" t="str">
        <v>БЕЛЬГИЯ БЕЛЬГИЯ</v>
      </c>
      <c r="D114" s="2" t="str">
        <v>Зелзате-Гуллегем</v>
      </c>
      <c r="E114" s="3">
        <f>-</f>
      </c>
      <c r="F114" s="3">
        <f>-</f>
      </c>
      <c r="G114" s="3">
        <f>-</f>
      </c>
      <c r="H114" s="3">
        <f>=ROUND((1000/((1000/E114) + (1000/f114))),2)</f>
      </c>
      <c r="I114" s="3">
        <f>=ROUND((1000/((1000/E114) + (1000/G114))),2)</f>
      </c>
      <c r="J114" s="3">
        <f>=ROUND((1000/((1000/F114) + (1000/G114))),2)</f>
      </c>
    </row>
    <row r="115" xml:space="preserve">
      <c r="A115" s="2" t="str">
        <v>01/05 ВС</v>
      </c>
      <c r="B115" s="2" t="str" xml:space="preserve">
        <v xml:space="preserve">17:00_x000d_
TKP</v>
      </c>
      <c r="C115" s="2" t="str">
        <v>БЕЛЬГИЯ БЕЛЬГИЯ</v>
      </c>
      <c r="D115" s="2" t="str">
        <v>Мерелбеке-Харелбеке</v>
      </c>
      <c r="E115" s="3">
        <f>-</f>
      </c>
      <c r="F115" s="3">
        <f>-</f>
      </c>
      <c r="G115" s="3">
        <f>-</f>
      </c>
      <c r="H115" s="3">
        <f>=ROUND((1000/((1000/E115) + (1000/f115))),2)</f>
      </c>
      <c r="I115" s="3">
        <f>=ROUND((1000/((1000/E115) + (1000/G115))),2)</f>
      </c>
      <c r="J115" s="3">
        <f>=ROUND((1000/((1000/F115) + (1000/G115))),2)</f>
      </c>
    </row>
    <row r="116" xml:space="preserve">
      <c r="A116" s="2" t="str">
        <v>01/05 ВС</v>
      </c>
      <c r="B116" s="2" t="str" xml:space="preserve">
        <v xml:space="preserve">17:00_x000d_
TKP</v>
      </c>
      <c r="C116" s="2" t="str">
        <v>БЕЛЬГИЯ БЕЛЬГИЯ</v>
      </c>
      <c r="D116" s="2" t="str">
        <v>Нинове-Локерен-Темзе</v>
      </c>
      <c r="E116" s="3">
        <f>-</f>
      </c>
      <c r="F116" s="3">
        <f>-</f>
      </c>
      <c r="G116" s="3">
        <f>-</f>
      </c>
      <c r="H116" s="3">
        <f>=ROUND((1000/((1000/E116) + (1000/f116))),2)</f>
      </c>
      <c r="I116" s="3">
        <f>=ROUND((1000/((1000/E116) + (1000/G116))),2)</f>
      </c>
      <c r="J116" s="3">
        <f>=ROUND((1000/((1000/F116) + (1000/G116))),2)</f>
      </c>
    </row>
    <row r="117" xml:space="preserve">
      <c r="A117" s="2" t="str">
        <v>01/05 ВС</v>
      </c>
      <c r="B117" s="2" t="str" xml:space="preserve">
        <v xml:space="preserve">17:00_x000d_
TKP</v>
      </c>
      <c r="C117" s="2" t="str">
        <v>БЕЛЬГИЯ БЕЛЬГИЯ</v>
      </c>
      <c r="D117" s="2" t="str">
        <v>Ронсе-Гент</v>
      </c>
      <c r="E117" s="3">
        <f>-</f>
      </c>
      <c r="F117" s="3">
        <f>-</f>
      </c>
      <c r="G117" s="3">
        <f>-</f>
      </c>
      <c r="H117" s="3">
        <f>=ROUND((1000/((1000/E117) + (1000/f117))),2)</f>
      </c>
      <c r="I117" s="3">
        <f>=ROUND((1000/((1000/E117) + (1000/G117))),2)</f>
      </c>
      <c r="J117" s="3">
        <f>=ROUND((1000/((1000/F117) + (1000/G117))),2)</f>
      </c>
    </row>
    <row r="118" xml:space="preserve">
      <c r="A118" s="2" t="str">
        <v>01/05 ВС</v>
      </c>
      <c r="B118" s="2" t="str" xml:space="preserve">
        <v xml:space="preserve">17:00_x000d_
TKP</v>
      </c>
      <c r="C118" s="2" t="str">
        <v>БЕЛЬГИЯ БЕЛЬГИЯ</v>
      </c>
      <c r="D118" s="2" t="str">
        <v>Аид-Каппеллен</v>
      </c>
      <c r="E118" s="3">
        <f>-</f>
      </c>
      <c r="F118" s="3">
        <f>-</f>
      </c>
      <c r="G118" s="3">
        <f>-</f>
      </c>
      <c r="H118" s="3">
        <f>=ROUND((1000/((1000/E118) + (1000/f118))),2)</f>
      </c>
      <c r="I118" s="3">
        <f>=ROUND((1000/((1000/E118) + (1000/G118))),2)</f>
      </c>
      <c r="J118" s="3">
        <f>=ROUND((1000/((1000/F118) + (1000/G118))),2)</f>
      </c>
    </row>
    <row r="119" xml:space="preserve">
      <c r="A119" s="2" t="str">
        <v>01/05 ВС</v>
      </c>
      <c r="B119" s="2" t="str" xml:space="preserve">
        <v xml:space="preserve">17:00_x000d_
TKP</v>
      </c>
      <c r="C119" s="2" t="str">
        <v>БЕЛЬГИЯ БЕЛЬГИЯ</v>
      </c>
      <c r="D119" s="2" t="str">
        <v>Белиция Билзен-Вейгмал</v>
      </c>
      <c r="E119" s="3">
        <f>-</f>
      </c>
      <c r="F119" s="3">
        <f>-</f>
      </c>
      <c r="G119" s="3">
        <f>-</f>
      </c>
      <c r="H119" s="3">
        <f>=ROUND((1000/((1000/E119) + (1000/f119))),2)</f>
      </c>
      <c r="I119" s="3">
        <f>=ROUND((1000/((1000/E119) + (1000/G119))),2)</f>
      </c>
      <c r="J119" s="3">
        <f>=ROUND((1000/((1000/F119) + (1000/G119))),2)</f>
      </c>
    </row>
    <row r="120" xml:space="preserve">
      <c r="A120" s="2" t="str">
        <v>01/05 ВС</v>
      </c>
      <c r="B120" s="2" t="str" xml:space="preserve">
        <v xml:space="preserve">17:00_x000d_
TKP</v>
      </c>
      <c r="C120" s="2" t="str">
        <v>БЕЛЬГИЯ БЕЛЬГИЯ</v>
      </c>
      <c r="D120" s="2" t="str">
        <v>Бохолтер-Конинклейк Берхем Спорт</v>
      </c>
      <c r="E120" s="3">
        <f>-</f>
      </c>
      <c r="F120" s="3">
        <f>-</f>
      </c>
      <c r="G120" s="3">
        <f>-</f>
      </c>
      <c r="H120" s="3">
        <f>=ROUND((1000/((1000/E120) + (1000/f120))),2)</f>
      </c>
      <c r="I120" s="3">
        <f>=ROUND((1000/((1000/E120) + (1000/G120))),2)</f>
      </c>
      <c r="J120" s="3">
        <f>=ROUND((1000/((1000/F120) + (1000/G120))),2)</f>
      </c>
    </row>
    <row r="121" xml:space="preserve">
      <c r="A121" s="2" t="str">
        <v>01/05 ВС</v>
      </c>
      <c r="B121" s="2" t="str" xml:space="preserve">
        <v xml:space="preserve">17:00_x000d_
TKP</v>
      </c>
      <c r="C121" s="2" t="str">
        <v>БЕЛЬГИЯ БЕЛЬГИЯ</v>
      </c>
      <c r="D121" s="2" t="str">
        <v>Дигем-Хасселт</v>
      </c>
      <c r="E121" s="3">
        <f>-</f>
      </c>
      <c r="F121" s="3">
        <f>-</f>
      </c>
      <c r="G121" s="3">
        <f>-</f>
      </c>
      <c r="H121" s="3">
        <f>=ROUND((1000/((1000/E121) + (1000/f121))),2)</f>
      </c>
      <c r="I121" s="3">
        <f>=ROUND((1000/((1000/E121) + (1000/G121))),2)</f>
      </c>
      <c r="J121" s="3">
        <f>=ROUND((1000/((1000/F121) + (1000/G121))),2)</f>
      </c>
    </row>
    <row r="122" xml:space="preserve">
      <c r="A122" s="2" t="str">
        <v>01/05 ВС</v>
      </c>
      <c r="B122" s="2" t="str" xml:space="preserve">
        <v xml:space="preserve">17:00_x000d_
TKP</v>
      </c>
      <c r="C122" s="2" t="str">
        <v>БЕЛЬГИЯ БЕЛЬГИЯ</v>
      </c>
      <c r="D122" s="2" t="str">
        <v>Лира-Льерс Берлар-Лондерзел</v>
      </c>
      <c r="E122" s="3">
        <f>-</f>
      </c>
      <c r="F122" s="3">
        <f>-</f>
      </c>
      <c r="G122" s="3">
        <f>-</f>
      </c>
      <c r="H122" s="3">
        <f>=ROUND((1000/((1000/E122) + (1000/f122))),2)</f>
      </c>
      <c r="I122" s="3">
        <f>=ROUND((1000/((1000/E122) + (1000/G122))),2)</f>
      </c>
      <c r="J122" s="3">
        <f>=ROUND((1000/((1000/F122) + (1000/G122))),2)</f>
      </c>
    </row>
    <row r="123" xml:space="preserve">
      <c r="A123" s="2" t="str">
        <v>01/05 ВС</v>
      </c>
      <c r="B123" s="2" t="str" xml:space="preserve">
        <v xml:space="preserve">17:00_x000d_
TKP</v>
      </c>
      <c r="C123" s="2" t="str">
        <v>БЕЛЬГИЯ БЕЛЬГИЯ</v>
      </c>
      <c r="D123" s="2" t="str">
        <v>Мерксем-Аальст</v>
      </c>
      <c r="E123" s="3">
        <f>-</f>
      </c>
      <c r="F123" s="3">
        <f>-</f>
      </c>
      <c r="G123" s="3">
        <f>-</f>
      </c>
      <c r="H123" s="3">
        <f>=ROUND((1000/((1000/E123) + (1000/f123))),2)</f>
      </c>
      <c r="I123" s="3">
        <f>=ROUND((1000/((1000/E123) + (1000/G123))),2)</f>
      </c>
      <c r="J123" s="3">
        <f>=ROUND((1000/((1000/F123) + (1000/G123))),2)</f>
      </c>
    </row>
    <row r="124" xml:space="preserve">
      <c r="A124" s="2" t="str">
        <v>01/05 ВС</v>
      </c>
      <c r="B124" s="2" t="str" xml:space="preserve">
        <v xml:space="preserve">17:00_x000d_
TKP</v>
      </c>
      <c r="C124" s="2" t="str">
        <v>БЕЛЬГИЯ БЕЛЬГИЯ</v>
      </c>
      <c r="D124" s="2" t="str">
        <v>Пепиньен-Хогстратен</v>
      </c>
      <c r="E124" s="3">
        <f>-</f>
      </c>
      <c r="F124" s="3">
        <f>-</f>
      </c>
      <c r="G124" s="3">
        <f>-</f>
      </c>
      <c r="H124" s="3">
        <f>=ROUND((1000/((1000/E124) + (1000/f124))),2)</f>
      </c>
      <c r="I124" s="3">
        <f>=ROUND((1000/((1000/E124) + (1000/G124))),2)</f>
      </c>
      <c r="J124" s="3">
        <f>=ROUND((1000/((1000/F124) + (1000/G124))),2)</f>
      </c>
    </row>
    <row r="125" xml:space="preserve">
      <c r="A125" s="2" t="str">
        <v>01/05 ВС</v>
      </c>
      <c r="B125" s="2" t="str" xml:space="preserve">
        <v xml:space="preserve">17:00_x000d_
TKP</v>
      </c>
      <c r="C125" s="2" t="str">
        <v>БЕЛЬГИЯ БЕЛЬГИЯ</v>
      </c>
      <c r="D125" s="2" t="str">
        <v>Тонгерен-Хаутвенн</v>
      </c>
      <c r="E125" s="3">
        <f>-</f>
      </c>
      <c r="F125" s="3">
        <f>-</f>
      </c>
      <c r="G125" s="3">
        <f>-</f>
      </c>
      <c r="H125" s="3">
        <f>=ROUND((1000/((1000/E125) + (1000/f125))),2)</f>
      </c>
      <c r="I125" s="3">
        <f>=ROUND((1000/((1000/E125) + (1000/G125))),2)</f>
      </c>
      <c r="J125" s="3">
        <f>=ROUND((1000/((1000/F125) + (1000/G125))),2)</f>
      </c>
    </row>
    <row r="126" xml:space="preserve">
      <c r="A126" s="2" t="str">
        <v>01/05 ВС</v>
      </c>
      <c r="B126" s="2" t="str" xml:space="preserve">
        <v xml:space="preserve">19:00_x000d_
TKP</v>
      </c>
      <c r="C126" s="2" t="str">
        <v>БЕНИН БЕНИН</v>
      </c>
      <c r="D126" s="2" t="str">
        <v>АСОС-АСПАК</v>
      </c>
      <c r="E126" s="3">
        <f>-</f>
      </c>
      <c r="F126" s="3">
        <f>-</f>
      </c>
      <c r="G126" s="3">
        <f>-</f>
      </c>
      <c r="H126" s="3">
        <f>=ROUND((1000/((1000/E126) + (1000/f126))),2)</f>
      </c>
      <c r="I126" s="3">
        <f>=ROUND((1000/((1000/E126) + (1000/G126))),2)</f>
      </c>
      <c r="J126" s="3">
        <f>=ROUND((1000/((1000/F126) + (1000/G126))),2)</f>
      </c>
    </row>
    <row r="127" xml:space="preserve">
      <c r="A127" s="2" t="str">
        <v>01/05 ВС</v>
      </c>
      <c r="B127" s="2" t="str" xml:space="preserve">
        <v xml:space="preserve">19:00_x000d_
TKP</v>
      </c>
      <c r="C127" s="2" t="str">
        <v>БЕНИН БЕНИН</v>
      </c>
      <c r="D127" s="2" t="str">
        <v>Динамик Джугу-Тоннер д'Абоме</v>
      </c>
      <c r="E127" s="3">
        <f>-</f>
      </c>
      <c r="F127" s="3">
        <f>-</f>
      </c>
      <c r="G127" s="3">
        <f>-</f>
      </c>
      <c r="H127" s="3">
        <f>=ROUND((1000/((1000/E127) + (1000/f127))),2)</f>
      </c>
      <c r="I127" s="3">
        <f>=ROUND((1000/((1000/E127) + (1000/G127))),2)</f>
      </c>
      <c r="J127" s="3">
        <f>=ROUND((1000/((1000/F127) + (1000/G127))),2)</f>
      </c>
    </row>
    <row r="128" xml:space="preserve">
      <c r="A128" s="2" t="str">
        <v>01/05 ВС</v>
      </c>
      <c r="B128" s="2" t="str" xml:space="preserve">
        <v xml:space="preserve">19:00_x000d_
TKP</v>
      </c>
      <c r="C128" s="2" t="str">
        <v>БЕНИН БЕНИН</v>
      </c>
      <c r="D128" s="2" t="str">
        <v>ЖАК-Упи Онм</v>
      </c>
      <c r="E128" s="3">
        <f>-</f>
      </c>
      <c r="F128" s="3">
        <f>-</f>
      </c>
      <c r="G128" s="3">
        <f>-</f>
      </c>
      <c r="H128" s="3">
        <f>=ROUND((1000/((1000/E128) + (1000/f128))),2)</f>
      </c>
      <c r="I128" s="3">
        <f>=ROUND((1000/((1000/E128) + (1000/G128))),2)</f>
      </c>
      <c r="J128" s="3">
        <f>=ROUND((1000/((1000/F128) + (1000/G128))),2)</f>
      </c>
    </row>
    <row r="129" xml:space="preserve">
      <c r="A129" s="2" t="str">
        <v>01/05 ВС</v>
      </c>
      <c r="B129" s="2" t="str" xml:space="preserve">
        <v xml:space="preserve">19:00_x000d_
TKP</v>
      </c>
      <c r="C129" s="2" t="str">
        <v>БЕНИН БЕНИН</v>
      </c>
      <c r="D129" s="2" t="str">
        <v>Реал Спорт-Одио</v>
      </c>
      <c r="E129" s="3">
        <f>-</f>
      </c>
      <c r="F129" s="3">
        <f>-</f>
      </c>
      <c r="G129" s="3">
        <f>-</f>
      </c>
      <c r="H129" s="3">
        <f>=ROUND((1000/((1000/E129) + (1000/f129))),2)</f>
      </c>
      <c r="I129" s="3">
        <f>=ROUND((1000/((1000/E129) + (1000/G129))),2)</f>
      </c>
      <c r="J129" s="3">
        <f>=ROUND((1000/((1000/F129) + (1000/G129))),2)</f>
      </c>
    </row>
    <row r="130">
      <c r="A130" s="2" t="str">
        <v>01/05 ВС</v>
      </c>
      <c r="B130" s="2" t="str">
        <v>20:00</v>
      </c>
      <c r="C130" s="2" t="str">
        <v>БОЛГАРИЯ БОЛГАРИЯ</v>
      </c>
      <c r="D130" s="2" t="str">
        <v>Славия София-Черно Море</v>
      </c>
      <c r="E130" s="3">
        <f>3.75</f>
      </c>
      <c r="F130" s="3">
        <f>3.00</f>
      </c>
      <c r="G130" s="3">
        <f>2.20</f>
      </c>
      <c r="H130" s="3">
        <f>=ROUND((1000/((1000/E130) + (1000/f130))),2)</f>
      </c>
      <c r="I130" s="3">
        <f>=ROUND((1000/((1000/E130) + (1000/G130))),2)</f>
      </c>
      <c r="J130" s="3">
        <f>=ROUND((1000/((1000/F130) + (1000/G130))),2)</f>
      </c>
    </row>
    <row r="131">
      <c r="A131" s="2" t="str">
        <v>01/05 ВС</v>
      </c>
      <c r="B131" s="2" t="str">
        <v>17:30</v>
      </c>
      <c r="C131" s="2" t="str">
        <v>БОЛГАРИЯ БОЛГАРИЯ</v>
      </c>
      <c r="D131" s="2" t="str">
        <v>Этыр-Спартак</v>
      </c>
      <c r="E131" s="3">
        <f>-</f>
      </c>
      <c r="F131" s="3">
        <f>-</f>
      </c>
      <c r="G131" s="3">
        <f>-</f>
      </c>
      <c r="H131" s="3">
        <f>=ROUND((1000/((1000/E131) + (1000/f131))),2)</f>
      </c>
      <c r="I131" s="3">
        <f>=ROUND((1000/((1000/E131) + (1000/G131))),2)</f>
      </c>
      <c r="J131" s="3">
        <f>=ROUND((1000/((1000/F131) + (1000/G131))),2)</f>
      </c>
    </row>
    <row r="132" xml:space="preserve">
      <c r="A132" s="2" t="str">
        <v>01/05 ВС</v>
      </c>
      <c r="B132" s="2" t="str" xml:space="preserve">
        <v xml:space="preserve">18:00_x000d_
TKP</v>
      </c>
      <c r="C132" s="2" t="str">
        <v>БОЛГАРИЯ БОЛГАРИЯ</v>
      </c>
      <c r="D132" s="2" t="str">
        <v>Хасково-Асеновец</v>
      </c>
      <c r="E132" s="3">
        <f>-</f>
      </c>
      <c r="F132" s="3">
        <f>-</f>
      </c>
      <c r="G132" s="3">
        <f>-</f>
      </c>
      <c r="H132" s="3">
        <f>=ROUND((1000/((1000/E132) + (1000/f132))),2)</f>
      </c>
      <c r="I132" s="3">
        <f>=ROUND((1000/((1000/E132) + (1000/G132))),2)</f>
      </c>
      <c r="J132" s="3">
        <f>=ROUND((1000/((1000/F132) + (1000/G132))),2)</f>
      </c>
    </row>
    <row r="133" xml:space="preserve">
      <c r="A133" s="2" t="str">
        <v>01/05 ВС</v>
      </c>
      <c r="B133" s="2" t="str" xml:space="preserve">
        <v xml:space="preserve">18:00_x000d_
TKP</v>
      </c>
      <c r="C133" s="2" t="str">
        <v>БОЛГАРИЯ БОЛГАРИЯ</v>
      </c>
      <c r="D133" s="2" t="str">
        <v>Спортист Тошево-Устрем Дончево</v>
      </c>
      <c r="E133" s="3">
        <f>-</f>
      </c>
      <c r="F133" s="3">
        <f>-</f>
      </c>
      <c r="G133" s="3">
        <f>-</f>
      </c>
      <c r="H133" s="3">
        <f>=ROUND((1000/((1000/E133) + (1000/f133))),2)</f>
      </c>
      <c r="I133" s="3">
        <f>=ROUND((1000/((1000/E133) + (1000/G133))),2)</f>
      </c>
      <c r="J133" s="3">
        <f>=ROUND((1000/((1000/F133) + (1000/G133))),2)</f>
      </c>
    </row>
    <row r="134">
      <c r="A134" s="2" t="str">
        <v>01/05 ВС</v>
      </c>
      <c r="B134" s="2" t="str">
        <v>01:15</v>
      </c>
      <c r="C134" s="2" t="str">
        <v>БОЛИВИЯ БОЛИВИЯ</v>
      </c>
      <c r="D134" s="2" t="str">
        <v>Аврора-Университарио Сукре</v>
      </c>
      <c r="E134" s="3">
        <f>1.80</f>
      </c>
      <c r="F134" s="3">
        <f>3.50</f>
      </c>
      <c r="G134" s="3">
        <f>4.00</f>
      </c>
      <c r="H134" s="3">
        <f>=ROUND((1000/((1000/E134) + (1000/f134))),2)</f>
      </c>
      <c r="I134" s="3">
        <f>=ROUND((1000/((1000/E134) + (1000/G134))),2)</f>
      </c>
      <c r="J134" s="3">
        <f>=ROUND((1000/((1000/F134) + (1000/G134))),2)</f>
      </c>
    </row>
    <row r="135">
      <c r="A135" s="2" t="str">
        <v>01/05 ВС</v>
      </c>
      <c r="B135" s="2" t="str">
        <v>03:30</v>
      </c>
      <c r="C135" s="2" t="str">
        <v>БОЛИВИЯ БОЛИВИЯ</v>
      </c>
      <c r="D135" s="2" t="str">
        <v>Индепендьенте Петрольерос-Хорхе Вильстерманн</v>
      </c>
      <c r="E135" s="3">
        <f>1.65</f>
      </c>
      <c r="F135" s="3">
        <f>4.00</f>
      </c>
      <c r="G135" s="3">
        <f>4.00</f>
      </c>
      <c r="H135" s="3">
        <f>=ROUND((1000/((1000/E135) + (1000/f135))),2)</f>
      </c>
      <c r="I135" s="3">
        <f>=ROUND((1000/((1000/E135) + (1000/G135))),2)</f>
      </c>
      <c r="J135" s="3">
        <f>=ROUND((1000/((1000/F135) + (1000/G135))),2)</f>
      </c>
    </row>
    <row r="136">
      <c r="A136" s="2" t="str">
        <v>01/05 ВС</v>
      </c>
      <c r="B136" s="2" t="str">
        <v>03:30</v>
      </c>
      <c r="C136" s="2" t="str">
        <v>БОЛИВИЯ БОЛИВИЯ</v>
      </c>
      <c r="D136" s="2" t="str">
        <v>Роял Пари-Томаяпо</v>
      </c>
      <c r="E136" s="3">
        <f>1.44</f>
      </c>
      <c r="F136" s="3">
        <f>4.50</f>
      </c>
      <c r="G136" s="3">
        <f>7.00</f>
      </c>
      <c r="H136" s="3">
        <f>=ROUND((1000/((1000/E136) + (1000/f136))),2)</f>
      </c>
      <c r="I136" s="3">
        <f>=ROUND((1000/((1000/E136) + (1000/G136))),2)</f>
      </c>
      <c r="J136" s="3">
        <f>=ROUND((1000/((1000/F136) + (1000/G136))),2)</f>
      </c>
    </row>
    <row r="137">
      <c r="A137" s="2" t="str">
        <v>01/05 ВС</v>
      </c>
      <c r="B137" s="2" t="str">
        <v>23:00</v>
      </c>
      <c r="C137" s="2" t="str">
        <v>БОЛИВИЯ БОЛИВИЯ</v>
      </c>
      <c r="D137" s="2" t="str">
        <v>Олвейз Рэди-Боливар</v>
      </c>
      <c r="E137" s="3">
        <f>2.70</f>
      </c>
      <c r="F137" s="3">
        <f>3.60</f>
      </c>
      <c r="G137" s="3">
        <f>2.15</f>
      </c>
      <c r="H137" s="3">
        <f>=ROUND((1000/((1000/E137) + (1000/f137))),2)</f>
      </c>
      <c r="I137" s="3">
        <f>=ROUND((1000/((1000/E137) + (1000/G137))),2)</f>
      </c>
      <c r="J137" s="3">
        <f>=ROUND((1000/((1000/F137) + (1000/G137))),2)</f>
      </c>
    </row>
    <row r="138">
      <c r="A138" s="2" t="str">
        <v>01/05 ВС</v>
      </c>
      <c r="B138" s="2" t="str">
        <v>23:00</v>
      </c>
      <c r="C138" s="2" t="str">
        <v>БОЛИВИЯ БОЛИВИЯ</v>
      </c>
      <c r="D138" s="2" t="str">
        <v>Университарио де Винто-Блуминг</v>
      </c>
      <c r="E138" s="3">
        <f>2.37</f>
      </c>
      <c r="F138" s="3">
        <f>3.40</f>
      </c>
      <c r="G138" s="3">
        <f>2.50</f>
      </c>
      <c r="H138" s="3">
        <f>=ROUND((1000/((1000/E138) + (1000/f138))),2)</f>
      </c>
      <c r="I138" s="3">
        <f>=ROUND((1000/((1000/E138) + (1000/G138))),2)</f>
      </c>
      <c r="J138" s="3">
        <f>=ROUND((1000/((1000/F138) + (1000/G138))),2)</f>
      </c>
    </row>
    <row r="139">
      <c r="A139" s="2" t="str">
        <v>01/05 ВС</v>
      </c>
      <c r="B139" s="2" t="str">
        <v>18:30</v>
      </c>
      <c r="C139" s="2" t="str">
        <v>БОСНИЯ И ГЕРЦЕГОВИНА БОСНИЯ И ГЕРЦЕГОВИНА</v>
      </c>
      <c r="D139" s="2" t="str">
        <v>Леотар Требинье-Вележ Мостар</v>
      </c>
      <c r="E139" s="3">
        <f>-</f>
      </c>
      <c r="F139" s="3">
        <f>-</f>
      </c>
      <c r="G139" s="3">
        <f>-</f>
      </c>
      <c r="H139" s="3">
        <f>=ROUND((1000/((1000/E139) + (1000/f139))),2)</f>
      </c>
      <c r="I139" s="3">
        <f>=ROUND((1000/((1000/E139) + (1000/G139))),2)</f>
      </c>
      <c r="J139" s="3">
        <f>=ROUND((1000/((1000/F139) + (1000/G139))),2)</f>
      </c>
    </row>
    <row r="140">
      <c r="A140" s="2" t="str">
        <v>01/05 ВС</v>
      </c>
      <c r="B140" s="2" t="str">
        <v>01:30</v>
      </c>
      <c r="C140" s="2" t="str">
        <v>БРАЗИЛИЯ БРАЗИЛИЯ</v>
      </c>
      <c r="D140" s="2" t="str">
        <v>Гояс-Атлетико Минейро</v>
      </c>
      <c r="E140" s="3">
        <f>6.00</f>
      </c>
      <c r="F140" s="3">
        <f>4.00</f>
      </c>
      <c r="G140" s="3">
        <f>1.57</f>
      </c>
      <c r="H140" s="3">
        <f>=ROUND((1000/((1000/E140) + (1000/f140))),2)</f>
      </c>
      <c r="I140" s="3">
        <f>=ROUND((1000/((1000/E140) + (1000/G140))),2)</f>
      </c>
      <c r="J140" s="3">
        <f>=ROUND((1000/((1000/F140) + (1000/G140))),2)</f>
      </c>
    </row>
    <row r="141">
      <c r="A141" s="2" t="str">
        <v>01/05 ВС</v>
      </c>
      <c r="B141" s="2" t="str">
        <v>02:00</v>
      </c>
      <c r="C141" s="2" t="str">
        <v>БРАЗИЛИЯ БРАЗИЛИЯ</v>
      </c>
      <c r="D141" s="2" t="str">
        <v>Куяба-Атлетико Гойаниенсе</v>
      </c>
      <c r="E141" s="3">
        <f>2.20</f>
      </c>
      <c r="F141" s="3">
        <f>3.00</f>
      </c>
      <c r="G141" s="3">
        <f>3.60</f>
      </c>
      <c r="H141" s="3">
        <f>=ROUND((1000/((1000/E141) + (1000/f141))),2)</f>
      </c>
      <c r="I141" s="3">
        <f>=ROUND((1000/((1000/E141) + (1000/G141))),2)</f>
      </c>
      <c r="J141" s="3">
        <f>=ROUND((1000/((1000/F141) + (1000/G141))),2)</f>
      </c>
    </row>
    <row r="142">
      <c r="A142" s="2" t="str">
        <v>01/05 ВС</v>
      </c>
      <c r="B142" s="2" t="str">
        <v>18:00</v>
      </c>
      <c r="C142" s="2" t="str">
        <v>БРАЗИЛИЯ БРАЗИЛИЯ</v>
      </c>
      <c r="D142" s="2" t="str">
        <v>Ботафого-Жувентуде</v>
      </c>
      <c r="E142" s="3">
        <f>1.85</f>
      </c>
      <c r="F142" s="3">
        <f>3.30</f>
      </c>
      <c r="G142" s="3">
        <f>4.33</f>
      </c>
      <c r="H142" s="3">
        <f>=ROUND((1000/((1000/E142) + (1000/f142))),2)</f>
      </c>
      <c r="I142" s="3">
        <f>=ROUND((1000/((1000/E142) + (1000/G142))),2)</f>
      </c>
      <c r="J142" s="3">
        <f>=ROUND((1000/((1000/F142) + (1000/G142))),2)</f>
      </c>
    </row>
    <row r="143">
      <c r="A143" s="2" t="str">
        <v>01/05 ВС</v>
      </c>
      <c r="B143" s="2" t="str">
        <v>23:00</v>
      </c>
      <c r="C143" s="2" t="str">
        <v>БРАЗИЛИЯ БРАЗИЛИЯ</v>
      </c>
      <c r="D143" s="2" t="str">
        <v>Коринтианс-Форталеза</v>
      </c>
      <c r="E143" s="3">
        <f>1.80</f>
      </c>
      <c r="F143" s="3">
        <f>3.40</f>
      </c>
      <c r="G143" s="3">
        <f>5.00</f>
      </c>
      <c r="H143" s="3">
        <f>=ROUND((1000/((1000/E143) + (1000/f143))),2)</f>
      </c>
      <c r="I143" s="3">
        <f>=ROUND((1000/((1000/E143) + (1000/G143))),2)</f>
      </c>
      <c r="J143" s="3">
        <f>=ROUND((1000/((1000/F143) + (1000/G143))),2)</f>
      </c>
    </row>
    <row r="144">
      <c r="A144" s="2" t="str">
        <v>01/05 ВС</v>
      </c>
      <c r="B144" s="2" t="str">
        <v>23:00</v>
      </c>
      <c r="C144" s="2" t="str">
        <v>БРАЗИЛИЯ БРАЗИЛИЯ</v>
      </c>
      <c r="D144" s="2" t="str">
        <v>Коритиба-Флуминенсе</v>
      </c>
      <c r="E144" s="3">
        <f>2.45</f>
      </c>
      <c r="F144" s="3">
        <f>3.00</f>
      </c>
      <c r="G144" s="3">
        <f>3.20</f>
      </c>
      <c r="H144" s="3">
        <f>=ROUND((1000/((1000/E144) + (1000/f144))),2)</f>
      </c>
      <c r="I144" s="3">
        <f>=ROUND((1000/((1000/E144) + (1000/G144))),2)</f>
      </c>
      <c r="J144" s="3">
        <f>=ROUND((1000/((1000/F144) + (1000/G144))),2)</f>
      </c>
    </row>
    <row r="145">
      <c r="A145" s="2" t="str">
        <v>01/05 ВС</v>
      </c>
      <c r="B145" s="2" t="str">
        <v>02:00</v>
      </c>
      <c r="C145" s="2" t="str">
        <v>БРАЗИЛИЯ БРАЗИЛИЯ</v>
      </c>
      <c r="D145" s="2" t="str">
        <v>Шапекоэнсе-Крузейро</v>
      </c>
      <c r="E145" s="3">
        <f>-</f>
      </c>
      <c r="F145" s="3">
        <f>-</f>
      </c>
      <c r="G145" s="3">
        <f>-</f>
      </c>
      <c r="H145" s="3">
        <f>=ROUND((1000/((1000/E145) + (1000/f145))),2)</f>
      </c>
      <c r="I145" s="3">
        <f>=ROUND((1000/((1000/E145) + (1000/G145))),2)</f>
      </c>
      <c r="J145" s="3">
        <f>=ROUND((1000/((1000/F145) + (1000/G145))),2)</f>
      </c>
    </row>
    <row r="146">
      <c r="A146" s="2" t="str">
        <v>01/05 ВС</v>
      </c>
      <c r="B146" s="2" t="str">
        <v>03:30</v>
      </c>
      <c r="C146" s="2" t="str">
        <v>БРАЗИЛИЯ БРАЗИЛИЯ</v>
      </c>
      <c r="D146" s="2" t="str">
        <v>Понте-Прета-Бруске</v>
      </c>
      <c r="E146" s="3">
        <f>-</f>
      </c>
      <c r="F146" s="3">
        <f>-</f>
      </c>
      <c r="G146" s="3">
        <f>-</f>
      </c>
      <c r="H146" s="3">
        <f>=ROUND((1000/((1000/E146) + (1000/f146))),2)</f>
      </c>
      <c r="I146" s="3">
        <f>=ROUND((1000/((1000/E146) + (1000/G146))),2)</f>
      </c>
      <c r="J146" s="3">
        <f>=ROUND((1000/((1000/F146) + (1000/G146))),2)</f>
      </c>
    </row>
    <row r="147">
      <c r="A147" s="2" t="str">
        <v>01/05 ВС</v>
      </c>
      <c r="B147" s="2" t="str">
        <v>18:00</v>
      </c>
      <c r="C147" s="2" t="str">
        <v>БРАЗИЛИЯ БРАЗИЛИЯ</v>
      </c>
      <c r="D147" s="2" t="str">
        <v>Криcиума-Новоризонтиньо</v>
      </c>
      <c r="E147" s="3">
        <f>-</f>
      </c>
      <c r="F147" s="3">
        <f>-</f>
      </c>
      <c r="G147" s="3">
        <f>-</f>
      </c>
      <c r="H147" s="3">
        <f>=ROUND((1000/((1000/E147) + (1000/f147))),2)</f>
      </c>
      <c r="I147" s="3">
        <f>=ROUND((1000/((1000/E147) + (1000/G147))),2)</f>
      </c>
      <c r="J147" s="3">
        <f>=ROUND((1000/((1000/F147) + (1000/G147))),2)</f>
      </c>
    </row>
    <row r="148">
      <c r="A148" s="2" t="str">
        <v>01/05 ВС</v>
      </c>
      <c r="B148" s="2" t="str">
        <v>00:00</v>
      </c>
      <c r="C148" s="2" t="str">
        <v>БРАЗИЛИЯ БРАЗИЛИЯ</v>
      </c>
      <c r="D148" s="2" t="str">
        <v>Пайсанду-Ипиранга</v>
      </c>
      <c r="E148" s="3">
        <f>-</f>
      </c>
      <c r="F148" s="3">
        <f>-</f>
      </c>
      <c r="G148" s="3">
        <f>-</f>
      </c>
      <c r="H148" s="3">
        <f>=ROUND((1000/((1000/E148) + (1000/f148))),2)</f>
      </c>
      <c r="I148" s="3">
        <f>=ROUND((1000/((1000/E148) + (1000/G148))),2)</f>
      </c>
      <c r="J148" s="3">
        <f>=ROUND((1000/((1000/F148) + (1000/G148))),2)</f>
      </c>
    </row>
    <row r="149">
      <c r="A149" s="2" t="str">
        <v>01/05 ВС</v>
      </c>
      <c r="B149" s="2" t="str">
        <v>01:00</v>
      </c>
      <c r="C149" s="2" t="str">
        <v>БРАЗИЛИЯ БРАЗИЛИЯ</v>
      </c>
      <c r="D149" s="2" t="str">
        <v>Кампиненсе-Апаресиденсе</v>
      </c>
      <c r="E149" s="3">
        <f>-</f>
      </c>
      <c r="F149" s="3">
        <f>-</f>
      </c>
      <c r="G149" s="3">
        <f>-</f>
      </c>
      <c r="H149" s="3">
        <f>=ROUND((1000/((1000/E149) + (1000/f149))),2)</f>
      </c>
      <c r="I149" s="3">
        <f>=ROUND((1000/((1000/E149) + (1000/G149))),2)</f>
      </c>
      <c r="J149" s="3">
        <f>=ROUND((1000/((1000/F149) + (1000/G149))),2)</f>
      </c>
    </row>
    <row r="150">
      <c r="A150" s="2" t="str">
        <v>01/05 ВС</v>
      </c>
      <c r="B150" s="2" t="str">
        <v>02:00</v>
      </c>
      <c r="C150" s="2" t="str">
        <v>БРАЗИЛИЯ БРАЗИЛИЯ</v>
      </c>
      <c r="D150" s="2" t="str">
        <v>Витория-Манаус</v>
      </c>
      <c r="E150" s="3">
        <f>-</f>
      </c>
      <c r="F150" s="3">
        <f>-</f>
      </c>
      <c r="G150" s="3">
        <f>-</f>
      </c>
      <c r="H150" s="3">
        <f>=ROUND((1000/((1000/E150) + (1000/f150))),2)</f>
      </c>
      <c r="I150" s="3">
        <f>=ROUND((1000/((1000/E150) + (1000/G150))),2)</f>
      </c>
      <c r="J150" s="3">
        <f>=ROUND((1000/((1000/F150) + (1000/G150))),2)</f>
      </c>
    </row>
    <row r="151">
      <c r="A151" s="2" t="str">
        <v>01/05 ВС</v>
      </c>
      <c r="B151" s="2" t="str">
        <v>18:00</v>
      </c>
      <c r="C151" s="2" t="str">
        <v>БРАЗИЛИЯ БРАЗИЛИЯ</v>
      </c>
      <c r="D151" s="2" t="str">
        <v>Фигейренсе-Мирассол</v>
      </c>
      <c r="E151" s="3">
        <f>-</f>
      </c>
      <c r="F151" s="3">
        <f>-</f>
      </c>
      <c r="G151" s="3">
        <f>-</f>
      </c>
      <c r="H151" s="3">
        <f>=ROUND((1000/((1000/E151) + (1000/f151))),2)</f>
      </c>
      <c r="I151" s="3">
        <f>=ROUND((1000/((1000/E151) + (1000/G151))),2)</f>
      </c>
      <c r="J151" s="3">
        <f>=ROUND((1000/((1000/F151) + (1000/G151))),2)</f>
      </c>
    </row>
    <row r="152">
      <c r="A152" s="2" t="str">
        <v>01/05 ВС</v>
      </c>
      <c r="B152" s="2" t="str">
        <v>22:00</v>
      </c>
      <c r="C152" s="2" t="str">
        <v>БРАЗИЛИЯ БРАЗИЛИЯ</v>
      </c>
      <c r="D152" s="2" t="str">
        <v>Ферровиарио-Ботафого ПБ</v>
      </c>
      <c r="E152" s="3">
        <f>-</f>
      </c>
      <c r="F152" s="3">
        <f>-</f>
      </c>
      <c r="G152" s="3">
        <f>-</f>
      </c>
      <c r="H152" s="3">
        <f>=ROUND((1000/((1000/E152) + (1000/f152))),2)</f>
      </c>
      <c r="I152" s="3">
        <f>=ROUND((1000/((1000/E152) + (1000/G152))),2)</f>
      </c>
      <c r="J152" s="3">
        <f>=ROUND((1000/((1000/F152) + (1000/G152))),2)</f>
      </c>
    </row>
    <row r="153">
      <c r="A153" s="2" t="str">
        <v>01/05 ВС</v>
      </c>
      <c r="B153" s="2" t="str">
        <v>00:00</v>
      </c>
      <c r="C153" s="2" t="str">
        <v>БРАЗИЛИЯ БРАЗИЛИЯ</v>
      </c>
      <c r="D153" s="2" t="str">
        <v>Америка Натал-Афогадос да Ингасейра</v>
      </c>
      <c r="E153" s="3">
        <f>-</f>
      </c>
      <c r="F153" s="3">
        <f>-</f>
      </c>
      <c r="G153" s="3">
        <f>-</f>
      </c>
      <c r="H153" s="3">
        <f>=ROUND((1000/((1000/E153) + (1000/f153))),2)</f>
      </c>
      <c r="I153" s="3">
        <f>=ROUND((1000/((1000/E153) + (1000/G153))),2)</f>
      </c>
      <c r="J153" s="3">
        <f>=ROUND((1000/((1000/F153) + (1000/G153))),2)</f>
      </c>
    </row>
    <row r="154">
      <c r="A154" s="2" t="str">
        <v>01/05 ВС</v>
      </c>
      <c r="B154" s="2" t="str">
        <v>00:00</v>
      </c>
      <c r="C154" s="2" t="str">
        <v>БРАЗИЛИЯ БРАЗИЛИЯ</v>
      </c>
      <c r="D154" s="2" t="str">
        <v>Ферровиария-Реал Нороэсте</v>
      </c>
      <c r="E154" s="3">
        <f>-</f>
      </c>
      <c r="F154" s="3">
        <f>-</f>
      </c>
      <c r="G154" s="3">
        <f>-</f>
      </c>
      <c r="H154" s="3">
        <f>=ROUND((1000/((1000/E154) + (1000/f154))),2)</f>
      </c>
      <c r="I154" s="3">
        <f>=ROUND((1000/((1000/E154) + (1000/G154))),2)</f>
      </c>
      <c r="J154" s="3">
        <f>=ROUND((1000/((1000/F154) + (1000/G154))),2)</f>
      </c>
    </row>
    <row r="155">
      <c r="A155" s="2" t="str">
        <v>01/05 ВС</v>
      </c>
      <c r="B155" s="2" t="str">
        <v>01:00</v>
      </c>
      <c r="C155" s="2" t="str">
        <v>БРАЗИЛИЯ БРАЗИЛИЯ</v>
      </c>
      <c r="D155" s="2" t="str">
        <v>Наутико-Сан-Раймундо РР</v>
      </c>
      <c r="E155" s="3">
        <f>-</f>
      </c>
      <c r="F155" s="3">
        <f>-</f>
      </c>
      <c r="G155" s="3">
        <f>-</f>
      </c>
      <c r="H155" s="3">
        <f>=ROUND((1000/((1000/E155) + (1000/f155))),2)</f>
      </c>
      <c r="I155" s="3">
        <f>=ROUND((1000/((1000/E155) + (1000/G155))),2)</f>
      </c>
      <c r="J155" s="3">
        <f>=ROUND((1000/((1000/F155) + (1000/G155))),2)</f>
      </c>
    </row>
    <row r="156">
      <c r="A156" s="2" t="str">
        <v>01/05 ВС</v>
      </c>
      <c r="B156" s="2" t="str">
        <v>03:00</v>
      </c>
      <c r="C156" s="2" t="str">
        <v>БРАЗИЛИЯ БРАЗИЛИЯ</v>
      </c>
      <c r="D156" s="2" t="str">
        <v>Кальденсе-Баия де Фейра</v>
      </c>
      <c r="E156" s="3">
        <f>-</f>
      </c>
      <c r="F156" s="3">
        <f>-</f>
      </c>
      <c r="G156" s="3">
        <f>-</f>
      </c>
      <c r="H156" s="3">
        <f>=ROUND((1000/((1000/E156) + (1000/f156))),2)</f>
      </c>
      <c r="I156" s="3">
        <f>=ROUND((1000/((1000/E156) + (1000/G156))),2)</f>
      </c>
      <c r="J156" s="3">
        <f>=ROUND((1000/((1000/F156) + (1000/G156))),2)</f>
      </c>
    </row>
    <row r="157">
      <c r="A157" s="2" t="str">
        <v>01/05 ВС</v>
      </c>
      <c r="B157" s="2" t="str">
        <v>22:00</v>
      </c>
      <c r="C157" s="2" t="str">
        <v>БРАЗИЛИЯ БРАЗИЛИЯ</v>
      </c>
      <c r="D157" s="2" t="str">
        <v>Азурис-Марсилио Диас</v>
      </c>
      <c r="E157" s="3">
        <f>-</f>
      </c>
      <c r="F157" s="3">
        <f>-</f>
      </c>
      <c r="G157" s="3">
        <f>-</f>
      </c>
      <c r="H157" s="3">
        <f>=ROUND((1000/((1000/E157) + (1000/f157))),2)</f>
      </c>
      <c r="I157" s="3">
        <f>=ROUND((1000/((1000/E157) + (1000/G157))),2)</f>
      </c>
      <c r="J157" s="3">
        <f>=ROUND((1000/((1000/F157) + (1000/G157))),2)</f>
      </c>
    </row>
    <row r="158">
      <c r="A158" s="2" t="str">
        <v>01/05 ВС</v>
      </c>
      <c r="B158" s="2" t="str">
        <v>22:00</v>
      </c>
      <c r="C158" s="2" t="str">
        <v>БРАЗИЛИЯ БРАЗИЛИЯ</v>
      </c>
      <c r="D158" s="2" t="str">
        <v>СЭР Кашиас-Айморе</v>
      </c>
      <c r="E158" s="3">
        <f>-</f>
      </c>
      <c r="F158" s="3">
        <f>-</f>
      </c>
      <c r="G158" s="3">
        <f>-</f>
      </c>
      <c r="H158" s="3">
        <f>=ROUND((1000/((1000/E158) + (1000/f158))),2)</f>
      </c>
      <c r="I158" s="3">
        <f>=ROUND((1000/((1000/E158) + (1000/G158))),2)</f>
      </c>
      <c r="J158" s="3">
        <f>=ROUND((1000/((1000/F158) + (1000/G158))),2)</f>
      </c>
    </row>
    <row r="159">
      <c r="A159" s="2" t="str">
        <v>01/05 ВС</v>
      </c>
      <c r="B159" s="2" t="str">
        <v>22:00</v>
      </c>
      <c r="C159" s="2" t="str">
        <v>БРАЗИЛИЯ БРАЗИЛИЯ</v>
      </c>
      <c r="D159" s="2" t="str">
        <v>Nova Venecia-Интернасьонал Лимейра</v>
      </c>
      <c r="E159" s="3">
        <f>-</f>
      </c>
      <c r="F159" s="3">
        <f>-</f>
      </c>
      <c r="G159" s="3">
        <f>-</f>
      </c>
      <c r="H159" s="3">
        <f>=ROUND((1000/((1000/E159) + (1000/f159))),2)</f>
      </c>
      <c r="I159" s="3">
        <f>=ROUND((1000/((1000/E159) + (1000/G159))),2)</f>
      </c>
      <c r="J159" s="3">
        <f>=ROUND((1000/((1000/F159) + (1000/G159))),2)</f>
      </c>
    </row>
    <row r="160">
      <c r="A160" s="2" t="str">
        <v>01/05 ВС</v>
      </c>
      <c r="B160" s="2" t="str">
        <v>22:00</v>
      </c>
      <c r="C160" s="2" t="str">
        <v>БРАЗИЛИЯ БРАЗИЛИЯ</v>
      </c>
      <c r="D160" s="2" t="str">
        <v>Perolas Negras-Португеза РЖ</v>
      </c>
      <c r="E160" s="3">
        <f>-</f>
      </c>
      <c r="F160" s="3">
        <f>-</f>
      </c>
      <c r="G160" s="3">
        <f>-</f>
      </c>
      <c r="H160" s="3">
        <f>=ROUND((1000/((1000/E160) + (1000/f160))),2)</f>
      </c>
      <c r="I160" s="3">
        <f>=ROUND((1000/((1000/E160) + (1000/G160))),2)</f>
      </c>
      <c r="J160" s="3">
        <f>=ROUND((1000/((1000/F160) + (1000/G160))),2)</f>
      </c>
    </row>
    <row r="161">
      <c r="A161" s="2" t="str">
        <v>01/05 ВС</v>
      </c>
      <c r="B161" s="2" t="str">
        <v>22:30</v>
      </c>
      <c r="C161" s="2" t="str">
        <v>БРАЗИЛИЯ БРАЗИЛИЯ</v>
      </c>
      <c r="D161" s="2" t="str">
        <v>Ипора-Коста-Рика</v>
      </c>
      <c r="E161" s="3">
        <f>-</f>
      </c>
      <c r="F161" s="3">
        <f>-</f>
      </c>
      <c r="G161" s="3">
        <f>-</f>
      </c>
      <c r="H161" s="3">
        <f>=ROUND((1000/((1000/E161) + (1000/f161))),2)</f>
      </c>
      <c r="I161" s="3">
        <f>=ROUND((1000/((1000/E161) + (1000/G161))),2)</f>
      </c>
      <c r="J161" s="3">
        <f>=ROUND((1000/((1000/F161) + (1000/G161))),2)</f>
      </c>
    </row>
    <row r="162">
      <c r="A162" s="2" t="str">
        <v>01/05 ВС</v>
      </c>
      <c r="B162" s="2" t="str">
        <v>23:00</v>
      </c>
      <c r="C162" s="2" t="str">
        <v>БРАЗИЛИЯ БРАЗИЛИЯ</v>
      </c>
      <c r="D162" s="2" t="str">
        <v>Акао-Бразильенсе</v>
      </c>
      <c r="E162" s="3">
        <f>-</f>
      </c>
      <c r="F162" s="3">
        <f>-</f>
      </c>
      <c r="G162" s="3">
        <f>-</f>
      </c>
      <c r="H162" s="3">
        <f>=ROUND((1000/((1000/E162) + (1000/f162))),2)</f>
      </c>
      <c r="I162" s="3">
        <f>=ROUND((1000/((1000/E162) + (1000/G162))),2)</f>
      </c>
      <c r="J162" s="3">
        <f>=ROUND((1000/((1000/F162) + (1000/G162))),2)</f>
      </c>
    </row>
    <row r="163">
      <c r="A163" s="2" t="str">
        <v>01/05 ВС</v>
      </c>
      <c r="B163" s="2" t="str">
        <v>23:00</v>
      </c>
      <c r="C163" s="2" t="str">
        <v>БРАЗИЛИЯ БРАЗИЛИЯ</v>
      </c>
      <c r="D163" s="2" t="str">
        <v>Алагоиньяс-Жакуипенсе</v>
      </c>
      <c r="E163" s="3">
        <f>-</f>
      </c>
      <c r="F163" s="3">
        <f>-</f>
      </c>
      <c r="G163" s="3">
        <f>-</f>
      </c>
      <c r="H163" s="3">
        <f>=ROUND((1000/((1000/E163) + (1000/f163))),2)</f>
      </c>
      <c r="I163" s="3">
        <f>=ROUND((1000/((1000/E163) + (1000/G163))),2)</f>
      </c>
      <c r="J163" s="3">
        <f>=ROUND((1000/((1000/F163) + (1000/G163))),2)</f>
      </c>
    </row>
    <row r="164">
      <c r="A164" s="2" t="str">
        <v>01/05 ВС</v>
      </c>
      <c r="B164" s="2" t="str">
        <v>23:00</v>
      </c>
      <c r="C164" s="2" t="str">
        <v>БРАЗИЛИЯ БРАЗИЛИЯ</v>
      </c>
      <c r="D164" s="2" t="str">
        <v>АСА-Сержипи</v>
      </c>
      <c r="E164" s="3">
        <f>-</f>
      </c>
      <c r="F164" s="3">
        <f>-</f>
      </c>
      <c r="G164" s="3">
        <f>-</f>
      </c>
      <c r="H164" s="3">
        <f>=ROUND((1000/((1000/E164) + (1000/f164))),2)</f>
      </c>
      <c r="I164" s="3">
        <f>=ROUND((1000/((1000/E164) + (1000/G164))),2)</f>
      </c>
      <c r="J164" s="3">
        <f>=ROUND((1000/((1000/F164) + (1000/G164))),2)</f>
      </c>
    </row>
    <row r="165">
      <c r="A165" s="2" t="str">
        <v>01/05 ВС</v>
      </c>
      <c r="B165" s="2" t="str">
        <v>23:00</v>
      </c>
      <c r="C165" s="2" t="str">
        <v>БРАЗИЛИЯ БРАЗИЛИЯ</v>
      </c>
      <c r="D165" s="2" t="str">
        <v>Гремио Ювентус-Проспера Крисиума</v>
      </c>
      <c r="E165" s="3">
        <f>-</f>
      </c>
      <c r="F165" s="3">
        <f>-</f>
      </c>
      <c r="G165" s="3">
        <f>-</f>
      </c>
      <c r="H165" s="3">
        <f>=ROUND((1000/((1000/E165) + (1000/f165))),2)</f>
      </c>
      <c r="I165" s="3">
        <f>=ROUND((1000/((1000/E165) + (1000/G165))),2)</f>
      </c>
      <c r="J165" s="3">
        <f>=ROUND((1000/((1000/F165) + (1000/G165))),2)</f>
      </c>
    </row>
    <row r="166">
      <c r="A166" s="2" t="str">
        <v>01/05 ВС</v>
      </c>
      <c r="B166" s="2" t="str">
        <v>23:00</v>
      </c>
      <c r="C166" s="2" t="str">
        <v>БРАЗИЛИЯ БРАЗИЛИЯ</v>
      </c>
      <c r="D166" s="2" t="str">
        <v>Каскавел-Сан-Луис</v>
      </c>
      <c r="E166" s="3">
        <f>-</f>
      </c>
      <c r="F166" s="3">
        <f>-</f>
      </c>
      <c r="G166" s="3">
        <f>-</f>
      </c>
      <c r="H166" s="3">
        <f>=ROUND((1000/((1000/E166) + (1000/f166))),2)</f>
      </c>
      <c r="I166" s="3">
        <f>=ROUND((1000/((1000/E166) + (1000/G166))),2)</f>
      </c>
      <c r="J166" s="3">
        <f>=ROUND((1000/((1000/F166) + (1000/G166))),2)</f>
      </c>
    </row>
    <row r="167">
      <c r="A167" s="2" t="str">
        <v>01/05 ВС</v>
      </c>
      <c r="B167" s="2" t="str">
        <v>23:00</v>
      </c>
      <c r="C167" s="2" t="str">
        <v>БРАЗИЛИЯ БРАЗИЛИЯ</v>
      </c>
      <c r="D167" s="2" t="str">
        <v>Лагарто-Сосьедад Эспортива</v>
      </c>
      <c r="E167" s="3">
        <f>-</f>
      </c>
      <c r="F167" s="3">
        <f>-</f>
      </c>
      <c r="G167" s="3">
        <f>-</f>
      </c>
      <c r="H167" s="3">
        <f>=ROUND((1000/((1000/E167) + (1000/f167))),2)</f>
      </c>
      <c r="I167" s="3">
        <f>=ROUND((1000/((1000/E167) + (1000/G167))),2)</f>
      </c>
      <c r="J167" s="3">
        <f>=ROUND((1000/((1000/F167) + (1000/G167))),2)</f>
      </c>
    </row>
    <row r="168">
      <c r="A168" s="2" t="str">
        <v>01/05 ВС</v>
      </c>
      <c r="B168" s="2" t="str">
        <v>23:00</v>
      </c>
      <c r="C168" s="2" t="str">
        <v>БРАЗИЛИЯ БРАЗИЛИЯ</v>
      </c>
      <c r="D168" s="2" t="str">
        <v>Сан-Раймундо-Порту-Велью</v>
      </c>
      <c r="E168" s="3">
        <f>-</f>
      </c>
      <c r="F168" s="3">
        <f>-</f>
      </c>
      <c r="G168" s="3">
        <f>-</f>
      </c>
      <c r="H168" s="3">
        <f>=ROUND((1000/((1000/E168) + (1000/f168))),2)</f>
      </c>
      <c r="I168" s="3">
        <f>=ROUND((1000/((1000/E168) + (1000/G168))),2)</f>
      </c>
      <c r="J168" s="3">
        <f>=ROUND((1000/((1000/F168) + (1000/G168))),2)</f>
      </c>
    </row>
    <row r="169">
      <c r="A169" s="2" t="str">
        <v>01/05 ВС</v>
      </c>
      <c r="B169" s="2" t="str">
        <v>00:00</v>
      </c>
      <c r="C169" s="2" t="str">
        <v>БРАЗИЛИЯ БРАЗИЛИЯ</v>
      </c>
      <c r="D169" s="2" t="str">
        <v>Ипиранга АП-Macapa</v>
      </c>
      <c r="E169" s="3">
        <f>-</f>
      </c>
      <c r="F169" s="3">
        <f>-</f>
      </c>
      <c r="G169" s="3">
        <f>-</f>
      </c>
      <c r="H169" s="3">
        <f>=ROUND((1000/((1000/E169) + (1000/f169))),2)</f>
      </c>
      <c r="I169" s="3">
        <f>=ROUND((1000/((1000/E169) + (1000/G169))),2)</f>
      </c>
      <c r="J169" s="3">
        <f>=ROUND((1000/((1000/F169) + (1000/G169))),2)</f>
      </c>
    </row>
    <row r="170">
      <c r="A170" s="2" t="str">
        <v>01/05 ВС</v>
      </c>
      <c r="B170" s="2" t="str">
        <v>00:00</v>
      </c>
      <c r="C170" s="2" t="str">
        <v>БРАЗИЛИЯ БРАЗИЛИЯ</v>
      </c>
      <c r="D170" s="2" t="str">
        <v>Сан-Паулу-Сантос АП</v>
      </c>
      <c r="E170" s="3">
        <f>-</f>
      </c>
      <c r="F170" s="3">
        <f>-</f>
      </c>
      <c r="G170" s="3">
        <f>-</f>
      </c>
      <c r="H170" s="3">
        <f>=ROUND((1000/((1000/E170) + (1000/f170))),2)</f>
      </c>
      <c r="I170" s="3">
        <f>=ROUND((1000/((1000/E170) + (1000/G170))),2)</f>
      </c>
      <c r="J170" s="3">
        <f>=ROUND((1000/((1000/F170) + (1000/G170))),2)</f>
      </c>
    </row>
    <row r="171" xml:space="preserve">
      <c r="A171" s="2" t="str">
        <v>01/05 ВС</v>
      </c>
      <c r="B171" s="2" t="str" xml:space="preserve">
        <v xml:space="preserve">22:00_x000d_
TKP</v>
      </c>
      <c r="C171" s="2" t="str">
        <v>БРАЗИЛИЯ БРАЗИЛИЯ</v>
      </c>
      <c r="D171" s="2" t="str">
        <v>Глория-Веранополис</v>
      </c>
      <c r="E171" s="3">
        <f>-</f>
      </c>
      <c r="F171" s="3">
        <f>-</f>
      </c>
      <c r="G171" s="3">
        <f>-</f>
      </c>
      <c r="H171" s="3">
        <f>=ROUND((1000/((1000/E171) + (1000/f171))),2)</f>
      </c>
      <c r="I171" s="3">
        <f>=ROUND((1000/((1000/E171) + (1000/G171))),2)</f>
      </c>
      <c r="J171" s="3">
        <f>=ROUND((1000/((1000/F171) + (1000/G171))),2)</f>
      </c>
    </row>
    <row r="172" xml:space="preserve">
      <c r="A172" s="2" t="str">
        <v>01/05 ВС</v>
      </c>
      <c r="B172" s="2" t="str" xml:space="preserve">
        <v xml:space="preserve">22:00_x000d_
TKP</v>
      </c>
      <c r="C172" s="2" t="str">
        <v>БРАЗИЛИЯ БРАЗИЛИЯ</v>
      </c>
      <c r="D172" s="2" t="str">
        <v>Тупи-Бразил Фаррупилья</v>
      </c>
      <c r="E172" s="3">
        <f>-</f>
      </c>
      <c r="F172" s="3">
        <f>-</f>
      </c>
      <c r="G172" s="3">
        <f>-</f>
      </c>
      <c r="H172" s="3">
        <f>=ROUND((1000/((1000/E172) + (1000/f172))),2)</f>
      </c>
      <c r="I172" s="3">
        <f>=ROUND((1000/((1000/E172) + (1000/G172))),2)</f>
      </c>
      <c r="J172" s="3">
        <f>=ROUND((1000/((1000/F172) + (1000/G172))),2)</f>
      </c>
    </row>
    <row r="173" xml:space="preserve">
      <c r="A173" s="2" t="str">
        <v>01/05 ВС</v>
      </c>
      <c r="B173" s="2" t="str" xml:space="preserve">
        <v xml:space="preserve">22:30_x000d_
TKP</v>
      </c>
      <c r="C173" s="2" t="str">
        <v>БРАЗИЛИЯ БРАЗИЛИЯ</v>
      </c>
      <c r="D173" s="2" t="str">
        <v>Гуарани-Сан-Габриэл</v>
      </c>
      <c r="E173" s="3">
        <f>-</f>
      </c>
      <c r="F173" s="3">
        <f>-</f>
      </c>
      <c r="G173" s="3">
        <f>-</f>
      </c>
      <c r="H173" s="3">
        <f>=ROUND((1000/((1000/E173) + (1000/f173))),2)</f>
      </c>
      <c r="I173" s="3">
        <f>=ROUND((1000/((1000/E173) + (1000/G173))),2)</f>
      </c>
      <c r="J173" s="3">
        <f>=ROUND((1000/((1000/F173) + (1000/G173))),2)</f>
      </c>
    </row>
    <row r="174" xml:space="preserve">
      <c r="A174" s="2" t="str">
        <v>01/05 ВС</v>
      </c>
      <c r="B174" s="2" t="str" xml:space="preserve">
        <v xml:space="preserve">22:30_x000d_
TKP</v>
      </c>
      <c r="C174" s="2" t="str">
        <v>БРАЗИЛИЯ БРАЗИЛИЯ</v>
      </c>
      <c r="D174" s="2" t="str">
        <v>Пелотас-Лажеаденсе</v>
      </c>
      <c r="E174" s="3">
        <f>-</f>
      </c>
      <c r="F174" s="3">
        <f>-</f>
      </c>
      <c r="G174" s="3">
        <f>-</f>
      </c>
      <c r="H174" s="3">
        <f>=ROUND((1000/((1000/E174) + (1000/f174))),2)</f>
      </c>
      <c r="I174" s="3">
        <f>=ROUND((1000/((1000/E174) + (1000/G174))),2)</f>
      </c>
      <c r="J174" s="3">
        <f>=ROUND((1000/((1000/F174) + (1000/G174))),2)</f>
      </c>
    </row>
    <row r="175" xml:space="preserve">
      <c r="A175" s="2" t="str">
        <v>01/05 ВС</v>
      </c>
      <c r="B175" s="2" t="str" xml:space="preserve">
        <v xml:space="preserve">22:30_x000d_
TKP</v>
      </c>
      <c r="C175" s="2" t="str">
        <v>БРАЗИЛИЯ БРАЗИЛИЯ</v>
      </c>
      <c r="D175" s="2" t="str">
        <v>СК Сан-Паулу-Санта Круз РС</v>
      </c>
      <c r="E175" s="3">
        <f>-</f>
      </c>
      <c r="F175" s="3">
        <f>-</f>
      </c>
      <c r="G175" s="3">
        <f>-</f>
      </c>
      <c r="H175" s="3">
        <f>=ROUND((1000/((1000/E175) + (1000/f175))),2)</f>
      </c>
      <c r="I175" s="3">
        <f>=ROUND((1000/((1000/E175) + (1000/G175))),2)</f>
      </c>
      <c r="J175" s="3">
        <f>=ROUND((1000/((1000/F175) + (1000/G175))),2)</f>
      </c>
    </row>
    <row r="176" xml:space="preserve">
      <c r="A176" s="2" t="str">
        <v>01/05 ВС</v>
      </c>
      <c r="B176" s="2" t="str" xml:space="preserve">
        <v xml:space="preserve">01:30_x000d_
TKP</v>
      </c>
      <c r="C176" s="2" t="str">
        <v>БРАЗИЛИЯ БРАЗИЛИЯ</v>
      </c>
      <c r="D176" s="2" t="str">
        <v>Uberaba-Бетим</v>
      </c>
      <c r="E176" s="3">
        <f>-</f>
      </c>
      <c r="F176" s="3">
        <f>-</f>
      </c>
      <c r="G176" s="3">
        <f>-</f>
      </c>
      <c r="H176" s="3">
        <f>=ROUND((1000/((1000/E176) + (1000/f176))),2)</f>
      </c>
      <c r="I176" s="3">
        <f>=ROUND((1000/((1000/E176) + (1000/G176))),2)</f>
      </c>
      <c r="J176" s="3">
        <f>=ROUND((1000/((1000/F176) + (1000/G176))),2)</f>
      </c>
    </row>
    <row r="177" xml:space="preserve">
      <c r="A177" s="2" t="str">
        <v>01/05 ВС</v>
      </c>
      <c r="B177" s="2" t="str" xml:space="preserve">
        <v xml:space="preserve">18:00_x000d_
TKP</v>
      </c>
      <c r="C177" s="2" t="str">
        <v>БРАЗИЛИЯ БРАЗИЛИЯ</v>
      </c>
      <c r="D177" s="2" t="str">
        <v>Тупи-МГ-Тупинамбас</v>
      </c>
      <c r="E177" s="3">
        <f>-</f>
      </c>
      <c r="F177" s="3">
        <f>-</f>
      </c>
      <c r="G177" s="3">
        <f>-</f>
      </c>
      <c r="H177" s="3">
        <f>=ROUND((1000/((1000/E177) + (1000/f177))),2)</f>
      </c>
      <c r="I177" s="3">
        <f>=ROUND((1000/((1000/E177) + (1000/G177))),2)</f>
      </c>
      <c r="J177" s="3">
        <f>=ROUND((1000/((1000/F177) + (1000/G177))),2)</f>
      </c>
    </row>
    <row r="178" xml:space="preserve">
      <c r="A178" s="2" t="str">
        <v>01/05 ВС</v>
      </c>
      <c r="B178" s="2" t="str" xml:space="preserve">
        <v xml:space="preserve">00:30_x000d_
TKP</v>
      </c>
      <c r="C178" s="2" t="str">
        <v>БРАЗИЛИЯ БРАЗИЛИЯ</v>
      </c>
      <c r="D178" s="2" t="str">
        <v>Флуминенсе ПИ-Парнахиба</v>
      </c>
      <c r="E178" s="3">
        <f>-</f>
      </c>
      <c r="F178" s="3">
        <f>-</f>
      </c>
      <c r="G178" s="3">
        <f>-</f>
      </c>
      <c r="H178" s="3">
        <f>=ROUND((1000/((1000/E178) + (1000/f178))),2)</f>
      </c>
      <c r="I178" s="3">
        <f>=ROUND((1000/((1000/E178) + (1000/G178))),2)</f>
      </c>
      <c r="J178" s="3">
        <f>=ROUND((1000/((1000/F178) + (1000/G178))),2)</f>
      </c>
    </row>
    <row r="179" xml:space="preserve">
      <c r="A179" s="2" t="str">
        <v>01/05 ВС</v>
      </c>
      <c r="B179" s="2" t="str" xml:space="preserve">
        <v xml:space="preserve">03:00_x000d_
TKP</v>
      </c>
      <c r="C179" s="2" t="str">
        <v>БРАЗИЛИЯ БРАЗИЛИЯ</v>
      </c>
      <c r="D179" s="2" t="str">
        <v>Униан Какоаленсе-Реал Арикемес</v>
      </c>
      <c r="E179" s="3">
        <f>-</f>
      </c>
      <c r="F179" s="3">
        <f>-</f>
      </c>
      <c r="G179" s="3">
        <f>-</f>
      </c>
      <c r="H179" s="3">
        <f>=ROUND((1000/((1000/E179) + (1000/f179))),2)</f>
      </c>
      <c r="I179" s="3">
        <f>=ROUND((1000/((1000/E179) + (1000/G179))),2)</f>
      </c>
      <c r="J179" s="3">
        <f>=ROUND((1000/((1000/F179) + (1000/G179))),2)</f>
      </c>
    </row>
    <row r="180">
      <c r="A180" s="2" t="str">
        <v>01/05 ВС</v>
      </c>
      <c r="B180" s="2" t="str">
        <v>04:00</v>
      </c>
      <c r="C180" s="2" t="str">
        <v>БРАЗИЛИЯ БРАЗИЛИЯ</v>
      </c>
      <c r="D180" s="2" t="str">
        <v>Палмейрас-Жуазейренсе</v>
      </c>
      <c r="E180" s="3">
        <f>1.10</f>
      </c>
      <c r="F180" s="3">
        <f>8.00</f>
      </c>
      <c r="G180" s="3">
        <f>21.00</f>
      </c>
      <c r="H180" s="3">
        <f>=ROUND((1000/((1000/E180) + (1000/f180))),2)</f>
      </c>
      <c r="I180" s="3">
        <f>=ROUND((1000/((1000/E180) + (1000/G180))),2)</f>
      </c>
      <c r="J180" s="3">
        <f>=ROUND((1000/((1000/F180) + (1000/G180))),2)</f>
      </c>
    </row>
    <row r="181">
      <c r="A181" s="2" t="str">
        <v>01/05 ВС</v>
      </c>
      <c r="B181" s="2" t="str">
        <v>18:00</v>
      </c>
      <c r="C181" s="2" t="str">
        <v>БРАЗИЛИЯ БРАЗИЛИЯ</v>
      </c>
      <c r="D181" s="2" t="str">
        <v>Коринтианс (Ж)-Ферровиария (Ж)</v>
      </c>
      <c r="E181" s="3">
        <f>-</f>
      </c>
      <c r="F181" s="3">
        <f>-</f>
      </c>
      <c r="G181" s="3">
        <f>-</f>
      </c>
      <c r="H181" s="3">
        <f>=ROUND((1000/((1000/E181) + (1000/f181))),2)</f>
      </c>
      <c r="I181" s="3">
        <f>=ROUND((1000/((1000/E181) + (1000/G181))),2)</f>
      </c>
      <c r="J181" s="3">
        <f>=ROUND((1000/((1000/F181) + (1000/G181))),2)</f>
      </c>
    </row>
    <row r="182">
      <c r="A182" s="2" t="str">
        <v>01/05 ВС</v>
      </c>
      <c r="B182" s="2" t="str">
        <v>22:00</v>
      </c>
      <c r="C182" s="2" t="str">
        <v>БРАЗИЛИЯ БРАЗИЛИЯ</v>
      </c>
      <c r="D182" s="2" t="str">
        <v>Реал Бразилиа (Ж)-Аваи Киндерманн (Ж)</v>
      </c>
      <c r="E182" s="3">
        <f>-</f>
      </c>
      <c r="F182" s="3">
        <f>-</f>
      </c>
      <c r="G182" s="3">
        <f>-</f>
      </c>
      <c r="H182" s="3">
        <f>=ROUND((1000/((1000/E182) + (1000/f182))),2)</f>
      </c>
      <c r="I182" s="3">
        <f>=ROUND((1000/((1000/E182) + (1000/G182))),2)</f>
      </c>
      <c r="J182" s="3">
        <f>=ROUND((1000/((1000/F182) + (1000/G182))),2)</f>
      </c>
    </row>
    <row r="183">
      <c r="A183" s="2" t="str">
        <v>01/05 ВС</v>
      </c>
      <c r="B183" s="2" t="str">
        <v>22:00</v>
      </c>
      <c r="C183" s="2" t="str">
        <v>БРАЗИЛИЯ БРАЗИЛИЯ</v>
      </c>
      <c r="D183" s="2" t="str">
        <v>Сан-Паулу (Ж)-Брагантино (Ж)</v>
      </c>
      <c r="E183" s="3">
        <f>-</f>
      </c>
      <c r="F183" s="3">
        <f>-</f>
      </c>
      <c r="G183" s="3">
        <f>-</f>
      </c>
      <c r="H183" s="3">
        <f>=ROUND((1000/((1000/E183) + (1000/f183))),2)</f>
      </c>
      <c r="I183" s="3">
        <f>=ROUND((1000/((1000/E183) + (1000/G183))),2)</f>
      </c>
      <c r="J183" s="3">
        <f>=ROUND((1000/((1000/F183) + (1000/G183))),2)</f>
      </c>
    </row>
    <row r="184">
      <c r="A184" s="2" t="str">
        <v>01/05 ВС</v>
      </c>
      <c r="B184" s="2" t="str">
        <v>22:00</v>
      </c>
      <c r="C184" s="2" t="str">
        <v>БРАЗИЛИЯ БРАЗИЛИЯ</v>
      </c>
      <c r="D184" s="2" t="str">
        <v>Фламенго (Ж)-Эсмак (Ж)</v>
      </c>
      <c r="E184" s="3">
        <f>-</f>
      </c>
      <c r="F184" s="3">
        <f>-</f>
      </c>
      <c r="G184" s="3">
        <f>-</f>
      </c>
      <c r="H184" s="3">
        <f>=ROUND((1000/((1000/E184) + (1000/f184))),2)</f>
      </c>
      <c r="I184" s="3">
        <f>=ROUND((1000/((1000/E184) + (1000/G184))),2)</f>
      </c>
      <c r="J184" s="3">
        <f>=ROUND((1000/((1000/F184) + (1000/G184))),2)</f>
      </c>
    </row>
    <row r="185">
      <c r="A185" s="2" t="str">
        <v>01/05 ВС</v>
      </c>
      <c r="B185" s="2" t="str">
        <v>20:00</v>
      </c>
      <c r="C185" s="2" t="str">
        <v>БУРКИНА-ФАСО БУРКИНА-ФАСО</v>
      </c>
      <c r="D185" s="2" t="str">
        <v>Бобо-Диуласо-УСФА</v>
      </c>
      <c r="E185" s="3">
        <f>-</f>
      </c>
      <c r="F185" s="3">
        <f>-</f>
      </c>
      <c r="G185" s="3">
        <f>-</f>
      </c>
      <c r="H185" s="3">
        <f>=ROUND((1000/((1000/E185) + (1000/f185))),2)</f>
      </c>
      <c r="I185" s="3">
        <f>=ROUND((1000/((1000/E185) + (1000/G185))),2)</f>
      </c>
      <c r="J185" s="3">
        <f>=ROUND((1000/((1000/F185) + (1000/G185))),2)</f>
      </c>
    </row>
    <row r="186">
      <c r="A186" s="2" t="str">
        <v>01/05 ВС</v>
      </c>
      <c r="B186" s="2" t="str">
        <v>20:00</v>
      </c>
      <c r="C186" s="2" t="str">
        <v>БУРКИНА-ФАСО БУРКИНА-ФАСО</v>
      </c>
      <c r="D186" s="2" t="str">
        <v>Кадиого-Витесс</v>
      </c>
      <c r="E186" s="3">
        <f>-</f>
      </c>
      <c r="F186" s="3">
        <f>-</f>
      </c>
      <c r="G186" s="3">
        <f>-</f>
      </c>
      <c r="H186" s="3">
        <f>=ROUND((1000/((1000/E186) + (1000/f186))),2)</f>
      </c>
      <c r="I186" s="3">
        <f>=ROUND((1000/((1000/E186) + (1000/G186))),2)</f>
      </c>
      <c r="J186" s="3">
        <f>=ROUND((1000/((1000/F186) + (1000/G186))),2)</f>
      </c>
    </row>
    <row r="187">
      <c r="A187" s="2" t="str">
        <v>01/05 ВС</v>
      </c>
      <c r="B187" s="2" t="str">
        <v>22:15</v>
      </c>
      <c r="C187" s="2" t="str">
        <v>БУРКИНА-ФАСО БУРКИНА-ФАСО</v>
      </c>
      <c r="D187" s="2" t="str">
        <v>Сонабель Уагадугу-Koupela</v>
      </c>
      <c r="E187" s="3">
        <f>-</f>
      </c>
      <c r="F187" s="3">
        <f>-</f>
      </c>
      <c r="G187" s="3">
        <f>-</f>
      </c>
      <c r="H187" s="3">
        <f>=ROUND((1000/((1000/E187) + (1000/f187))),2)</f>
      </c>
      <c r="I187" s="3">
        <f>=ROUND((1000/((1000/E187) + (1000/G187))),2)</f>
      </c>
      <c r="J187" s="3">
        <f>=ROUND((1000/((1000/F187) + (1000/G187))),2)</f>
      </c>
    </row>
    <row r="188">
      <c r="A188" s="2" t="str">
        <v>01/05 ВС</v>
      </c>
      <c r="B188" s="2" t="str">
        <v>16:30</v>
      </c>
      <c r="C188" s="2" t="str">
        <v>ВЕНГРИЯ ВЕНГРИЯ</v>
      </c>
      <c r="D188" s="2" t="str">
        <v>Залаэгерсег-МТК Будапешт</v>
      </c>
      <c r="E188" s="3">
        <f>2.05</f>
      </c>
      <c r="F188" s="3">
        <f>3.50</f>
      </c>
      <c r="G188" s="3">
        <f>3.60</f>
      </c>
      <c r="H188" s="3">
        <f>=ROUND((1000/((1000/E188) + (1000/f188))),2)</f>
      </c>
      <c r="I188" s="3">
        <f>=ROUND((1000/((1000/E188) + (1000/G188))),2)</f>
      </c>
      <c r="J188" s="3">
        <f>=ROUND((1000/((1000/F188) + (1000/G188))),2)</f>
      </c>
    </row>
    <row r="189">
      <c r="A189" s="2" t="str">
        <v>01/05 ВС</v>
      </c>
      <c r="B189" s="2" t="str">
        <v>19:00</v>
      </c>
      <c r="C189" s="2" t="str">
        <v>ВЕНГРИЯ ВЕНГРИЯ</v>
      </c>
      <c r="D189" s="2" t="str">
        <v>Уйпешт-Дьирмот</v>
      </c>
      <c r="E189" s="3">
        <f>1.55</f>
      </c>
      <c r="F189" s="3">
        <f>4.00</f>
      </c>
      <c r="G189" s="3">
        <f>6.50</f>
      </c>
      <c r="H189" s="3">
        <f>=ROUND((1000/((1000/E189) + (1000/f189))),2)</f>
      </c>
      <c r="I189" s="3">
        <f>=ROUND((1000/((1000/E189) + (1000/G189))),2)</f>
      </c>
      <c r="J189" s="3">
        <f>=ROUND((1000/((1000/F189) + (1000/G189))),2)</f>
      </c>
    </row>
    <row r="190">
      <c r="A190" s="2" t="str">
        <v>01/05 ВС</v>
      </c>
      <c r="B190" s="2" t="str">
        <v>19:00</v>
      </c>
      <c r="C190" s="2" t="str">
        <v>ВЕНГРИЯ ВЕНГРИЯ</v>
      </c>
      <c r="D190" s="2" t="str">
        <v>Будайорш-Диошдьёри ВТК</v>
      </c>
      <c r="E190" s="3">
        <f>-</f>
      </c>
      <c r="F190" s="3">
        <f>-</f>
      </c>
      <c r="G190" s="3">
        <f>-</f>
      </c>
      <c r="H190" s="3">
        <f>=ROUND((1000/((1000/E190) + (1000/f190))),2)</f>
      </c>
      <c r="I190" s="3">
        <f>=ROUND((1000/((1000/E190) + (1000/G190))),2)</f>
      </c>
      <c r="J190" s="3">
        <f>=ROUND((1000/((1000/F190) + (1000/G190))),2)</f>
      </c>
    </row>
    <row r="191">
      <c r="A191" s="2" t="str">
        <v>01/05 ВС</v>
      </c>
      <c r="B191" s="2" t="str">
        <v>19:00</v>
      </c>
      <c r="C191" s="2" t="str">
        <v>ВЕНГРИЯ ВЕНГРИЯ</v>
      </c>
      <c r="D191" s="2" t="str">
        <v>Будафоки-Ньиредьгаза</v>
      </c>
      <c r="E191" s="3">
        <f>-</f>
      </c>
      <c r="F191" s="3">
        <f>-</f>
      </c>
      <c r="G191" s="3">
        <f>-</f>
      </c>
      <c r="H191" s="3">
        <f>=ROUND((1000/((1000/E191) + (1000/f191))),2)</f>
      </c>
      <c r="I191" s="3">
        <f>=ROUND((1000/((1000/E191) + (1000/G191))),2)</f>
      </c>
      <c r="J191" s="3">
        <f>=ROUND((1000/((1000/F191) + (1000/G191))),2)</f>
      </c>
    </row>
    <row r="192">
      <c r="A192" s="2" t="str">
        <v>01/05 ВС</v>
      </c>
      <c r="B192" s="2" t="str">
        <v>19:00</v>
      </c>
      <c r="C192" s="2" t="str">
        <v>ВЕНГРИЯ ВЕНГРИЯ</v>
      </c>
      <c r="D192" s="2" t="str">
        <v>Дороги-Кечкемет</v>
      </c>
      <c r="E192" s="3">
        <f>-</f>
      </c>
      <c r="F192" s="3">
        <f>-</f>
      </c>
      <c r="G192" s="3">
        <f>-</f>
      </c>
      <c r="H192" s="3">
        <f>=ROUND((1000/((1000/E192) + (1000/f192))),2)</f>
      </c>
      <c r="I192" s="3">
        <f>=ROUND((1000/((1000/E192) + (1000/G192))),2)</f>
      </c>
      <c r="J192" s="3">
        <f>=ROUND((1000/((1000/F192) + (1000/G192))),2)</f>
      </c>
    </row>
    <row r="193">
      <c r="A193" s="2" t="str">
        <v>01/05 ВС</v>
      </c>
      <c r="B193" s="2" t="str">
        <v>19:00</v>
      </c>
      <c r="C193" s="2" t="str">
        <v>ВЕНГРИЯ ВЕНГРИЯ</v>
      </c>
      <c r="D193" s="2" t="str">
        <v>Сегед-Сольнок</v>
      </c>
      <c r="E193" s="3">
        <f>-</f>
      </c>
      <c r="F193" s="3">
        <f>-</f>
      </c>
      <c r="G193" s="3">
        <f>-</f>
      </c>
      <c r="H193" s="3">
        <f>=ROUND((1000/((1000/E193) + (1000/f193))),2)</f>
      </c>
      <c r="I193" s="3">
        <f>=ROUND((1000/((1000/E193) + (1000/G193))),2)</f>
      </c>
      <c r="J193" s="3">
        <f>=ROUND((1000/((1000/F193) + (1000/G193))),2)</f>
      </c>
    </row>
    <row r="194">
      <c r="A194" s="2" t="str">
        <v>01/05 ВС</v>
      </c>
      <c r="B194" s="2" t="str">
        <v>19:00</v>
      </c>
      <c r="C194" s="2" t="str">
        <v>ВЕНГРИЯ ВЕНГРИЯ</v>
      </c>
      <c r="D194" s="2" t="str">
        <v>Сентлоринц-Чаквари</v>
      </c>
      <c r="E194" s="3">
        <f>-</f>
      </c>
      <c r="F194" s="3">
        <f>-</f>
      </c>
      <c r="G194" s="3">
        <f>-</f>
      </c>
      <c r="H194" s="3">
        <f>=ROUND((1000/((1000/E194) + (1000/f194))),2)</f>
      </c>
      <c r="I194" s="3">
        <f>=ROUND((1000/((1000/E194) + (1000/G194))),2)</f>
      </c>
      <c r="J194" s="3">
        <f>=ROUND((1000/((1000/F194) + (1000/G194))),2)</f>
      </c>
    </row>
    <row r="195">
      <c r="A195" s="2" t="str">
        <v>01/05 ВС</v>
      </c>
      <c r="B195" s="2" t="str">
        <v>19:00</v>
      </c>
      <c r="C195" s="2" t="str">
        <v>ВЕНГРИЯ ВЕНГРИЯ</v>
      </c>
      <c r="D195" s="2" t="str">
        <v>Тисакечке-Шиофок</v>
      </c>
      <c r="E195" s="3">
        <f>-</f>
      </c>
      <c r="F195" s="3">
        <f>-</f>
      </c>
      <c r="G195" s="3">
        <f>-</f>
      </c>
      <c r="H195" s="3">
        <f>=ROUND((1000/((1000/E195) + (1000/f195))),2)</f>
      </c>
      <c r="I195" s="3">
        <f>=ROUND((1000/((1000/E195) + (1000/G195))),2)</f>
      </c>
      <c r="J195" s="3">
        <f>=ROUND((1000/((1000/F195) + (1000/G195))),2)</f>
      </c>
    </row>
    <row r="196">
      <c r="A196" s="2" t="str">
        <v>01/05 ВС</v>
      </c>
      <c r="B196" s="2" t="str">
        <v>19:00</v>
      </c>
      <c r="C196" s="2" t="str">
        <v>ВЕНГРИЯ ВЕНГРИЯ</v>
      </c>
      <c r="D196" s="2" t="str">
        <v>Шорокшар-Айка</v>
      </c>
      <c r="E196" s="3">
        <f>-</f>
      </c>
      <c r="F196" s="3">
        <f>-</f>
      </c>
      <c r="G196" s="3">
        <f>-</f>
      </c>
      <c r="H196" s="3">
        <f>=ROUND((1000/((1000/E196) + (1000/f196))),2)</f>
      </c>
      <c r="I196" s="3">
        <f>=ROUND((1000/((1000/E196) + (1000/G196))),2)</f>
      </c>
      <c r="J196" s="3">
        <f>=ROUND((1000/((1000/F196) + (1000/G196))),2)</f>
      </c>
    </row>
    <row r="197">
      <c r="A197" s="2" t="str">
        <v>01/05 ВС</v>
      </c>
      <c r="B197" s="2" t="str">
        <v>19:00</v>
      </c>
      <c r="C197" s="2" t="str">
        <v>ВЕНГРИЯ ВЕНГРИЯ</v>
      </c>
      <c r="D197" s="2" t="str">
        <v>III. керулети ТУЭ УПЕ-Печ</v>
      </c>
      <c r="E197" s="3">
        <f>-</f>
      </c>
      <c r="F197" s="3">
        <f>-</f>
      </c>
      <c r="G197" s="3">
        <f>-</f>
      </c>
      <c r="H197" s="3">
        <f>=ROUND((1000/((1000/E197) + (1000/f197))),2)</f>
      </c>
      <c r="I197" s="3">
        <f>=ROUND((1000/((1000/E197) + (1000/G197))),2)</f>
      </c>
      <c r="J197" s="3">
        <f>=ROUND((1000/((1000/F197) + (1000/G197))),2)</f>
      </c>
    </row>
    <row r="198">
      <c r="A198" s="2" t="str">
        <v>01/05 ВС</v>
      </c>
      <c r="B198" s="2" t="str">
        <v>13:00</v>
      </c>
      <c r="C198" s="2" t="str">
        <v>ВЕНГРИЯ ВЕНГРИЯ</v>
      </c>
      <c r="D198" s="2" t="str">
        <v>Уйпешт II-Путнок</v>
      </c>
      <c r="E198" s="3">
        <f>-</f>
      </c>
      <c r="F198" s="3">
        <f>-</f>
      </c>
      <c r="G198" s="3">
        <f>-</f>
      </c>
      <c r="H198" s="3">
        <f>=ROUND((1000/((1000/E198) + (1000/f198))),2)</f>
      </c>
      <c r="I198" s="3">
        <f>=ROUND((1000/((1000/E198) + (1000/G198))),2)</f>
      </c>
      <c r="J198" s="3">
        <f>=ROUND((1000/((1000/F198) + (1000/G198))),2)</f>
      </c>
    </row>
    <row r="199">
      <c r="A199" s="2" t="str">
        <v>01/05 ВС</v>
      </c>
      <c r="B199" s="2" t="str">
        <v>14:00</v>
      </c>
      <c r="C199" s="2" t="str">
        <v>ВЕНГРИЯ ВЕНГРИЯ</v>
      </c>
      <c r="D199" s="2" t="str">
        <v>Бекешчаба II-Эльоре</v>
      </c>
      <c r="E199" s="3">
        <f>-</f>
      </c>
      <c r="F199" s="3">
        <f>-</f>
      </c>
      <c r="G199" s="3">
        <f>-</f>
      </c>
      <c r="H199" s="3">
        <f>=ROUND((1000/((1000/E199) + (1000/f199))),2)</f>
      </c>
      <c r="I199" s="3">
        <f>=ROUND((1000/((1000/E199) + (1000/G199))),2)</f>
      </c>
      <c r="J199" s="3">
        <f>=ROUND((1000/((1000/F199) + (1000/G199))),2)</f>
      </c>
    </row>
    <row r="200">
      <c r="A200" s="2" t="str">
        <v>01/05 ВС</v>
      </c>
      <c r="B200" s="2" t="str">
        <v>16:00</v>
      </c>
      <c r="C200" s="2" t="str">
        <v>ВЕНГРИЯ ВЕНГРИЯ</v>
      </c>
      <c r="D200" s="2" t="str">
        <v>Дебрецен II-Ясбереньи</v>
      </c>
      <c r="E200" s="3">
        <f>-</f>
      </c>
      <c r="F200" s="3">
        <f>-</f>
      </c>
      <c r="G200" s="3">
        <f>-</f>
      </c>
      <c r="H200" s="3">
        <f>=ROUND((1000/((1000/E200) + (1000/f200))),2)</f>
      </c>
      <c r="I200" s="3">
        <f>=ROUND((1000/((1000/E200) + (1000/G200))),2)</f>
      </c>
      <c r="J200" s="3">
        <f>=ROUND((1000/((1000/F200) + (1000/G200))),2)</f>
      </c>
    </row>
    <row r="201">
      <c r="A201" s="2" t="str">
        <v>01/05 ВС</v>
      </c>
      <c r="B201" s="2" t="str">
        <v>19:00</v>
      </c>
      <c r="C201" s="2" t="str">
        <v>ВЕНГРИЯ ВЕНГРИЯ</v>
      </c>
      <c r="D201" s="2" t="str">
        <v>Казинцбарцикай-Кишварда II</v>
      </c>
      <c r="E201" s="3">
        <f>-</f>
      </c>
      <c r="F201" s="3">
        <f>-</f>
      </c>
      <c r="G201" s="3">
        <f>-</f>
      </c>
      <c r="H201" s="3">
        <f>=ROUND((1000/((1000/E201) + (1000/f201))),2)</f>
      </c>
      <c r="I201" s="3">
        <f>=ROUND((1000/((1000/E201) + (1000/G201))),2)</f>
      </c>
      <c r="J201" s="3">
        <f>=ROUND((1000/((1000/F201) + (1000/G201))),2)</f>
      </c>
    </row>
    <row r="202">
      <c r="A202" s="2" t="str">
        <v>01/05 ВС</v>
      </c>
      <c r="B202" s="2" t="str">
        <v>19:00</v>
      </c>
      <c r="C202" s="2" t="str">
        <v>ВЕНГРИЯ ВЕНГРИЯ</v>
      </c>
      <c r="D202" s="2" t="str">
        <v>Сенио Карнифекс-Тёрёксентмиклош</v>
      </c>
      <c r="E202" s="3">
        <f>-</f>
      </c>
      <c r="F202" s="3">
        <f>-</f>
      </c>
      <c r="G202" s="3">
        <f>-</f>
      </c>
      <c r="H202" s="3">
        <f>=ROUND((1000/((1000/E202) + (1000/f202))),2)</f>
      </c>
      <c r="I202" s="3">
        <f>=ROUND((1000/((1000/E202) + (1000/G202))),2)</f>
      </c>
      <c r="J202" s="3">
        <f>=ROUND((1000/((1000/F202) + (1000/G202))),2)</f>
      </c>
    </row>
    <row r="203">
      <c r="A203" s="2" t="str">
        <v>01/05 ВС</v>
      </c>
      <c r="B203" s="2" t="str">
        <v>19:00</v>
      </c>
      <c r="C203" s="2" t="str">
        <v>ВЕНГРИЯ ВЕНГРИЯ</v>
      </c>
      <c r="D203" s="2" t="str">
        <v>Тайа-Хидаснемети</v>
      </c>
      <c r="E203" s="3">
        <f>-</f>
      </c>
      <c r="F203" s="3">
        <f>-</f>
      </c>
      <c r="G203" s="3">
        <f>-</f>
      </c>
      <c r="H203" s="3">
        <f>=ROUND((1000/((1000/E203) + (1000/f203))),2)</f>
      </c>
      <c r="I203" s="3">
        <f>=ROUND((1000/((1000/E203) + (1000/G203))),2)</f>
      </c>
      <c r="J203" s="3">
        <f>=ROUND((1000/((1000/F203) + (1000/G203))),2)</f>
      </c>
    </row>
    <row r="204">
      <c r="A204" s="2" t="str">
        <v>01/05 ВС</v>
      </c>
      <c r="B204" s="2" t="str">
        <v>19:00</v>
      </c>
      <c r="C204" s="2" t="str">
        <v>ВЕНГРИЯ ВЕНГРИЯ</v>
      </c>
      <c r="D204" s="2" t="str">
        <v>Тисафюреди-ДЕАЦ</v>
      </c>
      <c r="E204" s="3">
        <f>-</f>
      </c>
      <c r="F204" s="3">
        <f>-</f>
      </c>
      <c r="G204" s="3">
        <f>-</f>
      </c>
      <c r="H204" s="3">
        <f>=ROUND((1000/((1000/E204) + (1000/f204))),2)</f>
      </c>
      <c r="I204" s="3">
        <f>=ROUND((1000/((1000/E204) + (1000/G204))),2)</f>
      </c>
      <c r="J204" s="3">
        <f>=ROUND((1000/((1000/F204) + (1000/G204))),2)</f>
      </c>
    </row>
    <row r="205">
      <c r="A205" s="2" t="str">
        <v>01/05 ВС</v>
      </c>
      <c r="B205" s="2" t="str">
        <v>19:00</v>
      </c>
      <c r="C205" s="2" t="str">
        <v>ВЕНГРИЯ ВЕНГРИЯ</v>
      </c>
      <c r="D205" s="2" t="str">
        <v>Фюзешьярмат-Тисауйварош</v>
      </c>
      <c r="E205" s="3">
        <f>-</f>
      </c>
      <c r="F205" s="3">
        <f>-</f>
      </c>
      <c r="G205" s="3">
        <f>-</f>
      </c>
      <c r="H205" s="3">
        <f>=ROUND((1000/((1000/E205) + (1000/f205))),2)</f>
      </c>
      <c r="I205" s="3">
        <f>=ROUND((1000/((1000/E205) + (1000/G205))),2)</f>
      </c>
      <c r="J205" s="3">
        <f>=ROUND((1000/((1000/F205) + (1000/G205))),2)</f>
      </c>
    </row>
    <row r="206">
      <c r="A206" s="2" t="str">
        <v>01/05 ВС</v>
      </c>
      <c r="B206" s="2" t="str">
        <v>19:00</v>
      </c>
      <c r="C206" s="2" t="str">
        <v>ВЕНГРИЯ ВЕНГРИЯ</v>
      </c>
      <c r="D206" s="2" t="str">
        <v>Хайдусобосло-Эгер СЕ</v>
      </c>
      <c r="E206" s="3">
        <f>-</f>
      </c>
      <c r="F206" s="3">
        <f>-</f>
      </c>
      <c r="G206" s="3">
        <f>-</f>
      </c>
      <c r="H206" s="3">
        <f>=ROUND((1000/((1000/E206) + (1000/f206))),2)</f>
      </c>
      <c r="I206" s="3">
        <f>=ROUND((1000/((1000/E206) + (1000/G206))),2)</f>
      </c>
      <c r="J206" s="3">
        <f>=ROUND((1000/((1000/F206) + (1000/G206))),2)</f>
      </c>
    </row>
    <row r="207">
      <c r="A207" s="2" t="str">
        <v>01/05 ВС</v>
      </c>
      <c r="B207" s="2" t="str">
        <v>19:00</v>
      </c>
      <c r="C207" s="2" t="str">
        <v>ВЕНГРИЯ ВЕНГРИЯ</v>
      </c>
      <c r="D207" s="2" t="str">
        <v>Шальготарьяни-Диошдьёри ВТК II</v>
      </c>
      <c r="E207" s="3">
        <f>-</f>
      </c>
      <c r="F207" s="3">
        <f>-</f>
      </c>
      <c r="G207" s="3">
        <f>-</f>
      </c>
      <c r="H207" s="3">
        <f>=ROUND((1000/((1000/E207) + (1000/f207))),2)</f>
      </c>
      <c r="I207" s="3">
        <f>=ROUND((1000/((1000/E207) + (1000/G207))),2)</f>
      </c>
      <c r="J207" s="3">
        <f>=ROUND((1000/((1000/F207) + (1000/G207))),2)</f>
      </c>
    </row>
    <row r="208">
      <c r="A208" s="2" t="str">
        <v>01/05 ВС</v>
      </c>
      <c r="B208" s="2" t="str">
        <v>13:00</v>
      </c>
      <c r="C208" s="2" t="str">
        <v>ВЕНГРИЯ ВЕНГРИЯ</v>
      </c>
      <c r="D208" s="2" t="str">
        <v>Пакш II-Цеглед</v>
      </c>
      <c r="E208" s="3">
        <f>-</f>
      </c>
      <c r="F208" s="3">
        <f>-</f>
      </c>
      <c r="G208" s="3">
        <f>-</f>
      </c>
      <c r="H208" s="3">
        <f>=ROUND((1000/((1000/E208) + (1000/f208))),2)</f>
      </c>
      <c r="I208" s="3">
        <f>=ROUND((1000/((1000/E208) + (1000/G208))),2)</f>
      </c>
      <c r="J208" s="3">
        <f>=ROUND((1000/((1000/F208) + (1000/G208))),2)</f>
      </c>
    </row>
    <row r="209">
      <c r="A209" s="2" t="str">
        <v>01/05 ВС</v>
      </c>
      <c r="B209" s="2" t="str">
        <v>19:00</v>
      </c>
      <c r="C209" s="2" t="str">
        <v>ВЕНГРИЯ ВЕНГРИЯ</v>
      </c>
      <c r="D209" s="2" t="str">
        <v>Балашшадьярмат-Гонвед II</v>
      </c>
      <c r="E209" s="3">
        <f>-</f>
      </c>
      <c r="F209" s="3">
        <f>-</f>
      </c>
      <c r="G209" s="3">
        <f>-</f>
      </c>
      <c r="H209" s="3">
        <f>=ROUND((1000/((1000/E209) + (1000/f209))),2)</f>
      </c>
      <c r="I209" s="3">
        <f>=ROUND((1000/((1000/E209) + (1000/G209))),2)</f>
      </c>
      <c r="J209" s="3">
        <f>=ROUND((1000/((1000/F209) + (1000/G209))),2)</f>
      </c>
    </row>
    <row r="210">
      <c r="A210" s="2" t="str">
        <v>01/05 ВС</v>
      </c>
      <c r="B210" s="2" t="str">
        <v>19:00</v>
      </c>
      <c r="C210" s="2" t="str">
        <v>ВЕНГРИЯ ВЕНГРИЯ</v>
      </c>
      <c r="D210" s="2" t="str">
        <v>Вац-Дунауйварош Пальхальмаи</v>
      </c>
      <c r="E210" s="3">
        <f>-</f>
      </c>
      <c r="F210" s="3">
        <f>-</f>
      </c>
      <c r="G210" s="3">
        <f>-</f>
      </c>
      <c r="H210" s="3">
        <f>=ROUND((1000/((1000/E210) + (1000/f210))),2)</f>
      </c>
      <c r="I210" s="3">
        <f>=ROUND((1000/((1000/E210) + (1000/G210))),2)</f>
      </c>
      <c r="J210" s="3">
        <f>=ROUND((1000/((1000/F210) + (1000/G210))),2)</f>
      </c>
    </row>
    <row r="211">
      <c r="A211" s="2" t="str">
        <v>01/05 ВС</v>
      </c>
      <c r="B211" s="2" t="str">
        <v>19:00</v>
      </c>
      <c r="C211" s="2" t="str">
        <v>ВЕНГРИЯ ВЕНГРИЯ</v>
      </c>
      <c r="D211" s="2" t="str">
        <v>Дабас-Дьен-Мохач</v>
      </c>
      <c r="E211" s="3">
        <f>-</f>
      </c>
      <c r="F211" s="3">
        <f>-</f>
      </c>
      <c r="G211" s="3">
        <f>-</f>
      </c>
      <c r="H211" s="3">
        <f>=ROUND((1000/((1000/E211) + (1000/f211))),2)</f>
      </c>
      <c r="I211" s="3">
        <f>=ROUND((1000/((1000/E211) + (1000/G211))),2)</f>
      </c>
      <c r="J211" s="3">
        <f>=ROUND((1000/((1000/F211) + (1000/G211))),2)</f>
      </c>
    </row>
    <row r="212">
      <c r="A212" s="2" t="str">
        <v>01/05 ВС</v>
      </c>
      <c r="B212" s="2" t="str">
        <v>19:00</v>
      </c>
      <c r="C212" s="2" t="str">
        <v>ВЕНГРИЯ ВЕНГРИЯ</v>
      </c>
      <c r="D212" s="2" t="str">
        <v>Иванча-Козармишлень</v>
      </c>
      <c r="E212" s="3">
        <f>-</f>
      </c>
      <c r="F212" s="3">
        <f>-</f>
      </c>
      <c r="G212" s="3">
        <f>-</f>
      </c>
      <c r="H212" s="3">
        <f>=ROUND((1000/((1000/E212) + (1000/f212))),2)</f>
      </c>
      <c r="I212" s="3">
        <f>=ROUND((1000/((1000/E212) + (1000/G212))),2)</f>
      </c>
      <c r="J212" s="3">
        <f>=ROUND((1000/((1000/F212) + (1000/G212))),2)</f>
      </c>
    </row>
    <row r="213">
      <c r="A213" s="2" t="str">
        <v>01/05 ВС</v>
      </c>
      <c r="B213" s="2" t="str">
        <v>19:00</v>
      </c>
      <c r="C213" s="2" t="str">
        <v>ВЕНГРИЯ ВЕНГРИЯ</v>
      </c>
      <c r="D213" s="2" t="str">
        <v>Макой-Дабаш</v>
      </c>
      <c r="E213" s="3">
        <f>-</f>
      </c>
      <c r="F213" s="3">
        <f>-</f>
      </c>
      <c r="G213" s="3">
        <f>-</f>
      </c>
      <c r="H213" s="3">
        <f>=ROUND((1000/((1000/E213) + (1000/f213))),2)</f>
      </c>
      <c r="I213" s="3">
        <f>=ROUND((1000/((1000/E213) + (1000/G213))),2)</f>
      </c>
      <c r="J213" s="3">
        <f>=ROUND((1000/((1000/F213) + (1000/G213))),2)</f>
      </c>
    </row>
    <row r="214">
      <c r="A214" s="2" t="str">
        <v>01/05 ВС</v>
      </c>
      <c r="B214" s="2" t="str">
        <v>19:00</v>
      </c>
      <c r="C214" s="2" t="str">
        <v>ВЕНГРИЯ ВЕНГРИЯ</v>
      </c>
      <c r="D214" s="2" t="str">
        <v>МТК II-Ходмезовашархей</v>
      </c>
      <c r="E214" s="3">
        <f>-</f>
      </c>
      <c r="F214" s="3">
        <f>-</f>
      </c>
      <c r="G214" s="3">
        <f>-</f>
      </c>
      <c r="H214" s="3">
        <f>=ROUND((1000/((1000/E214) + (1000/f214))),2)</f>
      </c>
      <c r="I214" s="3">
        <f>=ROUND((1000/((1000/E214) + (1000/G214))),2)</f>
      </c>
      <c r="J214" s="3">
        <f>=ROUND((1000/((1000/F214) + (1000/G214))),2)</f>
      </c>
    </row>
    <row r="215">
      <c r="A215" s="2" t="str">
        <v>01/05 ВС</v>
      </c>
      <c r="B215" s="2" t="str">
        <v>19:00</v>
      </c>
      <c r="C215" s="2" t="str">
        <v>ВЕНГРИЯ ВЕНГРИЯ</v>
      </c>
      <c r="D215" s="2" t="str">
        <v>Ракошменти КСК-Сексарди</v>
      </c>
      <c r="E215" s="3">
        <f>-</f>
      </c>
      <c r="F215" s="3">
        <f>-</f>
      </c>
      <c r="G215" s="3">
        <f>-</f>
      </c>
      <c r="H215" s="3">
        <f>=ROUND((1000/((1000/E215) + (1000/f215))),2)</f>
      </c>
      <c r="I215" s="3">
        <f>=ROUND((1000/((1000/E215) + (1000/G215))),2)</f>
      </c>
      <c r="J215" s="3">
        <f>=ROUND((1000/((1000/F215) + (1000/G215))),2)</f>
      </c>
    </row>
    <row r="216">
      <c r="A216" s="2" t="str">
        <v>01/05 ВС</v>
      </c>
      <c r="B216" s="2" t="str">
        <v>13:00</v>
      </c>
      <c r="C216" s="2" t="str">
        <v>ВЕНГРИЯ ВЕНГРИЯ</v>
      </c>
      <c r="D216" s="2" t="str">
        <v>Веспрем-Андрашхида</v>
      </c>
      <c r="E216" s="3">
        <f>-</f>
      </c>
      <c r="F216" s="3">
        <f>-</f>
      </c>
      <c r="G216" s="3">
        <f>-</f>
      </c>
      <c r="H216" s="3">
        <f>=ROUND((1000/((1000/E216) + (1000/f216))),2)</f>
      </c>
      <c r="I216" s="3">
        <f>=ROUND((1000/((1000/E216) + (1000/G216))),2)</f>
      </c>
      <c r="J216" s="3">
        <f>=ROUND((1000/((1000/F216) + (1000/G216))),2)</f>
      </c>
    </row>
    <row r="217">
      <c r="A217" s="2" t="str">
        <v>01/05 ВС</v>
      </c>
      <c r="B217" s="2" t="str">
        <v>13:00</v>
      </c>
      <c r="C217" s="2" t="str">
        <v>ВЕНГРИЯ ВЕНГРИЯ</v>
      </c>
      <c r="D217" s="2" t="str">
        <v>Дьирмот II-Кёлен</v>
      </c>
      <c r="E217" s="3">
        <f>-</f>
      </c>
      <c r="F217" s="3">
        <f>-</f>
      </c>
      <c r="G217" s="3">
        <f>-</f>
      </c>
      <c r="H217" s="3">
        <f>=ROUND((1000/((1000/E217) + (1000/f217))),2)</f>
      </c>
      <c r="I217" s="3">
        <f>=ROUND((1000/((1000/E217) + (1000/G217))),2)</f>
      </c>
      <c r="J217" s="3">
        <f>=ROUND((1000/((1000/F217) + (1000/G217))),2)</f>
      </c>
    </row>
    <row r="218">
      <c r="A218" s="2" t="str">
        <v>01/05 ВС</v>
      </c>
      <c r="B218" s="2" t="str">
        <v>13:00</v>
      </c>
      <c r="C218" s="2" t="str">
        <v>ВЕНГРИЯ ВЕНГРИЯ</v>
      </c>
      <c r="D218" s="2" t="str">
        <v>МОЛ Фехервар II-БВСК Зугло</v>
      </c>
      <c r="E218" s="3">
        <f>-</f>
      </c>
      <c r="F218" s="3">
        <f>-</f>
      </c>
      <c r="G218" s="3">
        <f>-</f>
      </c>
      <c r="H218" s="3">
        <f>=ROUND((1000/((1000/E218) + (1000/f218))),2)</f>
      </c>
      <c r="I218" s="3">
        <f>=ROUND((1000/((1000/E218) + (1000/G218))),2)</f>
      </c>
      <c r="J218" s="3">
        <f>=ROUND((1000/((1000/F218) + (1000/G218))),2)</f>
      </c>
    </row>
    <row r="219">
      <c r="A219" s="2" t="str">
        <v>01/05 ВС</v>
      </c>
      <c r="B219" s="2" t="str">
        <v>13:00</v>
      </c>
      <c r="C219" s="2" t="str">
        <v>ВЕНГРИЯ ВЕНГРИЯ</v>
      </c>
      <c r="D219" s="2" t="str">
        <v>Пушкаш Академи II-Татабанья</v>
      </c>
      <c r="E219" s="3">
        <f>-</f>
      </c>
      <c r="F219" s="3">
        <f>-</f>
      </c>
      <c r="G219" s="3">
        <f>-</f>
      </c>
      <c r="H219" s="3">
        <f>=ROUND((1000/((1000/E219) + (1000/f219))),2)</f>
      </c>
      <c r="I219" s="3">
        <f>=ROUND((1000/((1000/E219) + (1000/G219))),2)</f>
      </c>
      <c r="J219" s="3">
        <f>=ROUND((1000/((1000/F219) + (1000/G219))),2)</f>
      </c>
    </row>
    <row r="220">
      <c r="A220" s="2" t="str">
        <v>01/05 ВС</v>
      </c>
      <c r="B220" s="2" t="str">
        <v>19:00</v>
      </c>
      <c r="C220" s="2" t="str">
        <v>ВЕНГРИЯ ВЕНГРИЯ</v>
      </c>
      <c r="D220" s="2" t="str">
        <v>Гардони Вароши-Шопрон</v>
      </c>
      <c r="E220" s="3">
        <f>-</f>
      </c>
      <c r="F220" s="3">
        <f>-</f>
      </c>
      <c r="G220" s="3">
        <f>-</f>
      </c>
      <c r="H220" s="3">
        <f>=ROUND((1000/((1000/E220) + (1000/f220))),2)</f>
      </c>
      <c r="I220" s="3">
        <f>=ROUND((1000/((1000/E220) + (1000/G220))),2)</f>
      </c>
      <c r="J220" s="3">
        <f>=ROUND((1000/((1000/F220) + (1000/G220))),2)</f>
      </c>
    </row>
    <row r="221">
      <c r="A221" s="2" t="str">
        <v>01/05 ВС</v>
      </c>
      <c r="B221" s="2" t="str">
        <v>19:00</v>
      </c>
      <c r="C221" s="2" t="str">
        <v>ВЕНГРИЯ ВЕНГРИЯ</v>
      </c>
      <c r="D221" s="2" t="str">
        <v>Комаром ВСЕ-Надьканижа</v>
      </c>
      <c r="E221" s="3">
        <f>-</f>
      </c>
      <c r="F221" s="3">
        <f>-</f>
      </c>
      <c r="G221" s="3">
        <f>-</f>
      </c>
      <c r="H221" s="3">
        <f>=ROUND((1000/((1000/E221) + (1000/f221))),2)</f>
      </c>
      <c r="I221" s="3">
        <f>=ROUND((1000/((1000/E221) + (1000/G221))),2)</f>
      </c>
      <c r="J221" s="3">
        <f>=ROUND((1000/((1000/F221) + (1000/G221))),2)</f>
      </c>
    </row>
    <row r="222">
      <c r="A222" s="2" t="str">
        <v>01/05 ВС</v>
      </c>
      <c r="B222" s="2" t="str">
        <v>19:00</v>
      </c>
      <c r="C222" s="2" t="str">
        <v>ВЕНГРИЯ ВЕНГРИЯ</v>
      </c>
      <c r="D222" s="2" t="str">
        <v>Эрди-Капошвар</v>
      </c>
      <c r="E222" s="3">
        <f>-</f>
      </c>
      <c r="F222" s="3">
        <f>-</f>
      </c>
      <c r="G222" s="3">
        <f>-</f>
      </c>
      <c r="H222" s="3">
        <f>=ROUND((1000/((1000/E222) + (1000/f222))),2)</f>
      </c>
      <c r="I222" s="3">
        <f>=ROUND((1000/((1000/E222) + (1000/G222))),2)</f>
      </c>
      <c r="J222" s="3">
        <f>=ROUND((1000/((1000/F222) + (1000/G222))),2)</f>
      </c>
    </row>
    <row r="223">
      <c r="A223" s="2" t="str">
        <v>01/05 ВС</v>
      </c>
      <c r="B223" s="2" t="str">
        <v>20:00</v>
      </c>
      <c r="C223" s="2" t="str">
        <v>ВЕНГРИЯ ВЕНГРИЯ</v>
      </c>
      <c r="D223" s="2" t="str">
        <v>Бичке-Балатонфуреди</v>
      </c>
      <c r="E223" s="3">
        <f>-</f>
      </c>
      <c r="F223" s="3">
        <f>-</f>
      </c>
      <c r="G223" s="3">
        <f>-</f>
      </c>
      <c r="H223" s="3">
        <f>=ROUND((1000/((1000/E223) + (1000/f223))),2)</f>
      </c>
      <c r="I223" s="3">
        <f>=ROUND((1000/((1000/E223) + (1000/G223))),2)</f>
      </c>
      <c r="J223" s="3">
        <f>=ROUND((1000/((1000/F223) + (1000/G223))),2)</f>
      </c>
    </row>
    <row r="224" xml:space="preserve">
      <c r="A224" s="2" t="str">
        <v>01/05 ВС</v>
      </c>
      <c r="B224" s="2" t="str" xml:space="preserve">
        <v xml:space="preserve">18:00_x000d_
TKP</v>
      </c>
      <c r="C224" s="2" t="str">
        <v>ВЕНГРИЯ ВЕНГРИЯ</v>
      </c>
      <c r="D224" s="2" t="str">
        <v>Пушкаш Академи (Ж)-Шорокшар (Ж)</v>
      </c>
      <c r="E224" s="3">
        <f>-</f>
      </c>
      <c r="F224" s="3">
        <f>-</f>
      </c>
      <c r="G224" s="3">
        <f>-</f>
      </c>
      <c r="H224" s="3">
        <f>=ROUND((1000/((1000/E224) + (1000/f224))),2)</f>
      </c>
      <c r="I224" s="3">
        <f>=ROUND((1000/((1000/E224) + (1000/G224))),2)</f>
      </c>
      <c r="J224" s="3">
        <f>=ROUND((1000/((1000/F224) + (1000/G224))),2)</f>
      </c>
    </row>
    <row r="225" xml:space="preserve">
      <c r="A225" s="2" t="str">
        <v>01/05 ВС</v>
      </c>
      <c r="B225" s="2" t="str" xml:space="preserve">
        <v xml:space="preserve">19:00_x000d_
TKP</v>
      </c>
      <c r="C225" s="2" t="str">
        <v>ВЕНГРИЯ ВЕНГРИЯ</v>
      </c>
      <c r="D225" s="2" t="str">
        <v>Астра (Ж)-МТК Хунгария (Ж)</v>
      </c>
      <c r="E225" s="3">
        <f>-</f>
      </c>
      <c r="F225" s="3">
        <f>-</f>
      </c>
      <c r="G225" s="3">
        <f>-</f>
      </c>
      <c r="H225" s="3">
        <f>=ROUND((1000/((1000/E225) + (1000/f225))),2)</f>
      </c>
      <c r="I225" s="3">
        <f>=ROUND((1000/((1000/E225) + (1000/G225))),2)</f>
      </c>
      <c r="J225" s="3">
        <f>=ROUND((1000/((1000/F225) + (1000/G225))),2)</f>
      </c>
    </row>
    <row r="226" xml:space="preserve">
      <c r="A226" s="2" t="str">
        <v>01/05 ВС</v>
      </c>
      <c r="B226" s="2" t="str" xml:space="preserve">
        <v xml:space="preserve">21:15_x000d_
TKP</v>
      </c>
      <c r="C226" s="2" t="str">
        <v>ВЕНГРИЯ ВЕНГРИЯ</v>
      </c>
      <c r="D226" s="2" t="str">
        <v>Дьер (Ж)-Ференцварош (Ж)</v>
      </c>
      <c r="E226" s="3">
        <f>-</f>
      </c>
      <c r="F226" s="3">
        <f>-</f>
      </c>
      <c r="G226" s="3">
        <f>-</f>
      </c>
      <c r="H226" s="3">
        <f>=ROUND((1000/((1000/E226) + (1000/f226))),2)</f>
      </c>
      <c r="I226" s="3">
        <f>=ROUND((1000/((1000/E226) + (1000/G226))),2)</f>
      </c>
      <c r="J226" s="3">
        <f>=ROUND((1000/((1000/F226) + (1000/G226))),2)</f>
      </c>
    </row>
    <row r="227">
      <c r="A227" s="2" t="str">
        <v>01/05 ВС</v>
      </c>
      <c r="B227" s="2" t="str">
        <v>01:15</v>
      </c>
      <c r="C227" s="2" t="str">
        <v>ВЕНЕСУЭЛА ВЕНЕСУЭЛА</v>
      </c>
      <c r="D227" s="2" t="str">
        <v>Каракас-Монагас</v>
      </c>
      <c r="E227" s="3">
        <f>-</f>
      </c>
      <c r="F227" s="3">
        <f>-</f>
      </c>
      <c r="G227" s="3">
        <f>-</f>
      </c>
      <c r="H227" s="3">
        <f>=ROUND((1000/((1000/E227) + (1000/f227))),2)</f>
      </c>
      <c r="I227" s="3">
        <f>=ROUND((1000/((1000/E227) + (1000/G227))),2)</f>
      </c>
      <c r="J227" s="3">
        <f>=ROUND((1000/((1000/F227) + (1000/G227))),2)</f>
      </c>
    </row>
    <row r="228">
      <c r="A228" s="2" t="str">
        <v>01/05 ВС</v>
      </c>
      <c r="B228" s="2" t="str">
        <v>03:30</v>
      </c>
      <c r="C228" s="2" t="str">
        <v>ВЕНЕСУЭЛА ВЕНЕСУЭЛА</v>
      </c>
      <c r="D228" s="2" t="str">
        <v>Эрманс Колменарес-Карабобо</v>
      </c>
      <c r="E228" s="3">
        <f>-</f>
      </c>
      <c r="F228" s="3">
        <f>-</f>
      </c>
      <c r="G228" s="3">
        <f>-</f>
      </c>
      <c r="H228" s="3">
        <f>=ROUND((1000/((1000/E228) + (1000/f228))),2)</f>
      </c>
      <c r="I228" s="3">
        <f>=ROUND((1000/((1000/E228) + (1000/G228))),2)</f>
      </c>
      <c r="J228" s="3">
        <f>=ROUND((1000/((1000/F228) + (1000/G228))),2)</f>
      </c>
    </row>
    <row r="229">
      <c r="A229" s="2" t="str">
        <v>01/05 ВС</v>
      </c>
      <c r="B229" s="2" t="str">
        <v>19:00</v>
      </c>
      <c r="C229" s="2" t="str">
        <v>ВЕНЕСУЭЛА ВЕНЕСУЭЛА</v>
      </c>
      <c r="D229" s="2" t="str">
        <v>УСВ-Минерос де Гуаяна</v>
      </c>
      <c r="E229" s="3">
        <f>-</f>
      </c>
      <c r="F229" s="3">
        <f>-</f>
      </c>
      <c r="G229" s="3">
        <f>-</f>
      </c>
      <c r="H229" s="3">
        <f>=ROUND((1000/((1000/E229) + (1000/f229))),2)</f>
      </c>
      <c r="I229" s="3">
        <f>=ROUND((1000/((1000/E229) + (1000/G229))),2)</f>
      </c>
      <c r="J229" s="3">
        <f>=ROUND((1000/((1000/F229) + (1000/G229))),2)</f>
      </c>
    </row>
    <row r="230">
      <c r="A230" s="2" t="str">
        <v>01/05 ВС</v>
      </c>
      <c r="B230" s="2" t="str">
        <v>00:00</v>
      </c>
      <c r="C230" s="2" t="str">
        <v>ВЕНЕСУЭЛА ВЕНЕСУЭЛА</v>
      </c>
      <c r="D230" s="2" t="str">
        <v>Academia Anzoategui-Боливар</v>
      </c>
      <c r="E230" s="3">
        <f>-</f>
      </c>
      <c r="F230" s="3">
        <f>-</f>
      </c>
      <c r="G230" s="3">
        <f>-</f>
      </c>
      <c r="H230" s="3">
        <f>=ROUND((1000/((1000/E230) + (1000/f230))),2)</f>
      </c>
      <c r="I230" s="3">
        <f>=ROUND((1000/((1000/E230) + (1000/G230))),2)</f>
      </c>
      <c r="J230" s="3">
        <f>=ROUND((1000/((1000/F230) + (1000/G230))),2)</f>
      </c>
    </row>
    <row r="231">
      <c r="A231" s="2" t="str">
        <v>01/05 ВС</v>
      </c>
      <c r="B231" s="2" t="str">
        <v>00:00</v>
      </c>
      <c r="C231" s="2" t="str">
        <v>ВЕНЕСУЭЛА ВЕНЕСУЭЛА</v>
      </c>
      <c r="D231" s="2" t="str">
        <v>Титанес-Трухильянос</v>
      </c>
      <c r="E231" s="3">
        <f>-</f>
      </c>
      <c r="F231" s="3">
        <f>-</f>
      </c>
      <c r="G231" s="3">
        <f>-</f>
      </c>
      <c r="H231" s="3">
        <f>=ROUND((1000/((1000/E231) + (1000/f231))),2)</f>
      </c>
      <c r="I231" s="3">
        <f>=ROUND((1000/((1000/E231) + (1000/G231))),2)</f>
      </c>
      <c r="J231" s="3">
        <f>=ROUND((1000/((1000/F231) + (1000/G231))),2)</f>
      </c>
    </row>
    <row r="232">
      <c r="A232" s="2" t="str">
        <v>01/05 ВС</v>
      </c>
      <c r="B232" s="2" t="str">
        <v>00:00</v>
      </c>
      <c r="C232" s="2" t="str">
        <v>ВЕНЕСУЭЛА ВЕНЕСУЭЛА</v>
      </c>
      <c r="D232" s="2" t="str">
        <v>Фронтера-Академия Рэй</v>
      </c>
      <c r="E232" s="3">
        <f>-</f>
      </c>
      <c r="F232" s="3">
        <f>-</f>
      </c>
      <c r="G232" s="3">
        <f>-</f>
      </c>
      <c r="H232" s="3">
        <f>=ROUND((1000/((1000/E232) + (1000/f232))),2)</f>
      </c>
      <c r="I232" s="3">
        <f>=ROUND((1000/((1000/E232) + (1000/G232))),2)</f>
      </c>
      <c r="J232" s="3">
        <f>=ROUND((1000/((1000/F232) + (1000/G232))),2)</f>
      </c>
    </row>
    <row r="233">
      <c r="A233" s="2" t="str">
        <v>01/05 ВС</v>
      </c>
      <c r="B233" s="2" t="str">
        <v>01:00</v>
      </c>
      <c r="C233" s="2" t="str">
        <v>ВЕНЕСУЭЛА ВЕНЕСУЭЛА</v>
      </c>
      <c r="D233" s="2" t="str">
        <v>Либертадор-Ангостура</v>
      </c>
      <c r="E233" s="3">
        <f>-</f>
      </c>
      <c r="F233" s="3">
        <f>-</f>
      </c>
      <c r="G233" s="3">
        <f>-</f>
      </c>
      <c r="H233" s="3">
        <f>=ROUND((1000/((1000/E233) + (1000/f233))),2)</f>
      </c>
      <c r="I233" s="3">
        <f>=ROUND((1000/((1000/E233) + (1000/G233))),2)</f>
      </c>
      <c r="J233" s="3">
        <f>=ROUND((1000/((1000/F233) + (1000/G233))),2)</f>
      </c>
    </row>
    <row r="234">
      <c r="A234" s="2" t="str">
        <v>01/05 ВС</v>
      </c>
      <c r="B234" s="2" t="str">
        <v>01:00</v>
      </c>
      <c r="C234" s="2" t="str">
        <v>ВЕНЕСУЭЛА ВЕНЕСУЭЛА</v>
      </c>
      <c r="D234" s="2" t="str">
        <v>Хероес Фалькон-Урена</v>
      </c>
      <c r="E234" s="3">
        <f>-</f>
      </c>
      <c r="F234" s="3">
        <f>-</f>
      </c>
      <c r="G234" s="3">
        <f>-</f>
      </c>
      <c r="H234" s="3">
        <f>=ROUND((1000/((1000/E234) + (1000/f234))),2)</f>
      </c>
      <c r="I234" s="3">
        <f>=ROUND((1000/((1000/E234) + (1000/G234))),2)</f>
      </c>
      <c r="J234" s="3">
        <f>=ROUND((1000/((1000/F234) + (1000/G234))),2)</f>
      </c>
    </row>
    <row r="235">
      <c r="A235" s="2" t="str">
        <v>01/05 ВС</v>
      </c>
      <c r="B235" s="2" t="str">
        <v>01:00</v>
      </c>
      <c r="C235" s="2" t="str">
        <v>ГАМБИЯ ГАМБИЯ</v>
      </c>
      <c r="D235" s="2" t="str">
        <v>Армед Форсес-Стив Бико</v>
      </c>
      <c r="E235" s="3">
        <f>-</f>
      </c>
      <c r="F235" s="3">
        <f>-</f>
      </c>
      <c r="G235" s="3">
        <f>-</f>
      </c>
      <c r="H235" s="3">
        <f>=ROUND((1000/((1000/E235) + (1000/f235))),2)</f>
      </c>
      <c r="I235" s="3">
        <f>=ROUND((1000/((1000/E235) + (1000/G235))),2)</f>
      </c>
      <c r="J235" s="3">
        <f>=ROUND((1000/((1000/F235) + (1000/G235))),2)</f>
      </c>
    </row>
    <row r="236">
      <c r="A236" s="2" t="str">
        <v>01/05 ВС</v>
      </c>
      <c r="B236" s="2" t="str">
        <v>03:00</v>
      </c>
      <c r="C236" s="2" t="str">
        <v>ГАМБИЯ ГАМБИЯ</v>
      </c>
      <c r="D236" s="2" t="str">
        <v>Банжул Юнайтед-ВАА Банджул</v>
      </c>
      <c r="E236" s="3">
        <f>-</f>
      </c>
      <c r="F236" s="3">
        <f>-</f>
      </c>
      <c r="G236" s="3">
        <f>-</f>
      </c>
      <c r="H236" s="3">
        <f>=ROUND((1000/((1000/E236) + (1000/f236))),2)</f>
      </c>
      <c r="I236" s="3">
        <f>=ROUND((1000/((1000/E236) + (1000/G236))),2)</f>
      </c>
      <c r="J236" s="3">
        <f>=ROUND((1000/((1000/F236) + (1000/G236))),2)</f>
      </c>
    </row>
    <row r="237">
      <c r="A237" s="2" t="str">
        <v>01/05 ВС</v>
      </c>
      <c r="B237" s="2" t="str">
        <v>19:00</v>
      </c>
      <c r="C237" s="2" t="str">
        <v>ГАНА ГАНА</v>
      </c>
      <c r="D237" s="2" t="str">
        <v>Ашанти Голд-Берекум Челси</v>
      </c>
      <c r="E237" s="3">
        <f>-</f>
      </c>
      <c r="F237" s="3">
        <f>-</f>
      </c>
      <c r="G237" s="3">
        <f>-</f>
      </c>
      <c r="H237" s="3">
        <f>=ROUND((1000/((1000/E237) + (1000/f237))),2)</f>
      </c>
      <c r="I237" s="3">
        <f>=ROUND((1000/((1000/E237) + (1000/G237))),2)</f>
      </c>
      <c r="J237" s="3">
        <f>=ROUND((1000/((1000/F237) + (1000/G237))),2)</f>
      </c>
    </row>
    <row r="238">
      <c r="A238" s="2" t="str">
        <v>01/05 ВС</v>
      </c>
      <c r="B238" s="2" t="str">
        <v>19:00</v>
      </c>
      <c r="C238" s="2" t="str">
        <v>ГАНА ГАНА</v>
      </c>
      <c r="D238" s="2" t="str">
        <v>Карела-Бибиани Голд Старс</v>
      </c>
      <c r="E238" s="3">
        <f>-</f>
      </c>
      <c r="F238" s="3">
        <f>-</f>
      </c>
      <c r="G238" s="3">
        <f>-</f>
      </c>
      <c r="H238" s="3">
        <f>=ROUND((1000/((1000/E238) + (1000/f238))),2)</f>
      </c>
      <c r="I238" s="3">
        <f>=ROUND((1000/((1000/E238) + (1000/G238))),2)</f>
      </c>
      <c r="J238" s="3">
        <f>=ROUND((1000/((1000/F238) + (1000/G238))),2)</f>
      </c>
    </row>
    <row r="239">
      <c r="A239" s="2" t="str">
        <v>01/05 ВС</v>
      </c>
      <c r="B239" s="2" t="str">
        <v>19:00</v>
      </c>
      <c r="C239" s="2" t="str">
        <v>ГАНА ГАНА</v>
      </c>
      <c r="D239" s="2" t="str">
        <v>Кинг Файзал-Бечем Юнайтед</v>
      </c>
      <c r="E239" s="3">
        <f>-</f>
      </c>
      <c r="F239" s="3">
        <f>-</f>
      </c>
      <c r="G239" s="3">
        <f>-</f>
      </c>
      <c r="H239" s="3">
        <f>=ROUND((1000/((1000/E239) + (1000/f239))),2)</f>
      </c>
      <c r="I239" s="3">
        <f>=ROUND((1000/((1000/E239) + (1000/G239))),2)</f>
      </c>
      <c r="J239" s="3">
        <f>=ROUND((1000/((1000/F239) + (1000/G239))),2)</f>
      </c>
    </row>
    <row r="240">
      <c r="A240" s="2" t="str">
        <v>01/05 ВС</v>
      </c>
      <c r="B240" s="2" t="str">
        <v>19:00</v>
      </c>
      <c r="C240" s="2" t="str">
        <v>ГАНА ГАНА</v>
      </c>
      <c r="D240" s="2" t="str">
        <v>Легон Ситиз-Эльмина Шаркс</v>
      </c>
      <c r="E240" s="3">
        <f>-</f>
      </c>
      <c r="F240" s="3">
        <f>-</f>
      </c>
      <c r="G240" s="3">
        <f>-</f>
      </c>
      <c r="H240" s="3">
        <f>=ROUND((1000/((1000/E240) + (1000/f240))),2)</f>
      </c>
      <c r="I240" s="3">
        <f>=ROUND((1000/((1000/E240) + (1000/G240))),2)</f>
      </c>
      <c r="J240" s="3">
        <f>=ROUND((1000/((1000/F240) + (1000/G240))),2)</f>
      </c>
    </row>
    <row r="241">
      <c r="A241" s="2" t="str">
        <v>01/05 ВС</v>
      </c>
      <c r="B241" s="2" t="str">
        <v>19:00</v>
      </c>
      <c r="C241" s="2" t="str">
        <v>ГАНА ГАНА</v>
      </c>
      <c r="D241" s="2" t="str">
        <v>Реал Тамале-Аккра Лайонс</v>
      </c>
      <c r="E241" s="3">
        <f>-</f>
      </c>
      <c r="F241" s="3">
        <f>-</f>
      </c>
      <c r="G241" s="3">
        <f>-</f>
      </c>
      <c r="H241" s="3">
        <f>=ROUND((1000/((1000/E241) + (1000/f241))),2)</f>
      </c>
      <c r="I241" s="3">
        <f>=ROUND((1000/((1000/E241) + (1000/G241))),2)</f>
      </c>
      <c r="J241" s="3">
        <f>=ROUND((1000/((1000/F241) + (1000/G241))),2)</f>
      </c>
    </row>
    <row r="242">
      <c r="A242" s="2" t="str">
        <v>01/05 ВС</v>
      </c>
      <c r="B242" s="2" t="str">
        <v>19:00</v>
      </c>
      <c r="C242" s="2" t="str">
        <v>ГАНА ГАНА</v>
      </c>
      <c r="D242" s="2" t="str">
        <v>Хартс оф Оак-Дримс</v>
      </c>
      <c r="E242" s="3">
        <f>-</f>
      </c>
      <c r="F242" s="3">
        <f>-</f>
      </c>
      <c r="G242" s="3">
        <f>-</f>
      </c>
      <c r="H242" s="3">
        <f>=ROUND((1000/((1000/E242) + (1000/f242))),2)</f>
      </c>
      <c r="I242" s="3">
        <f>=ROUND((1000/((1000/E242) + (1000/G242))),2)</f>
      </c>
      <c r="J242" s="3">
        <f>=ROUND((1000/((1000/F242) + (1000/G242))),2)</f>
      </c>
    </row>
    <row r="243">
      <c r="A243" s="2" t="str">
        <v>01/05 ВС</v>
      </c>
      <c r="B243" s="2" t="str">
        <v>01:00</v>
      </c>
      <c r="C243" s="2" t="str">
        <v>ГВАТЕМАЛА ГВАТЕМАЛА</v>
      </c>
      <c r="D243" s="2" t="str">
        <v>Гуастотоя-Шелаху</v>
      </c>
      <c r="E243" s="3">
        <f>-</f>
      </c>
      <c r="F243" s="3">
        <f>-</f>
      </c>
      <c r="G243" s="3">
        <f>-</f>
      </c>
      <c r="H243" s="3">
        <f>=ROUND((1000/((1000/E243) + (1000/f243))),2)</f>
      </c>
      <c r="I243" s="3">
        <f>=ROUND((1000/((1000/E243) + (1000/G243))),2)</f>
      </c>
      <c r="J243" s="3">
        <f>=ROUND((1000/((1000/F243) + (1000/G243))),2)</f>
      </c>
    </row>
    <row r="244">
      <c r="A244" s="2" t="str">
        <v>01/05 ВС</v>
      </c>
      <c r="B244" s="2" t="str">
        <v>01:00</v>
      </c>
      <c r="C244" s="2" t="str">
        <v>ГВАТЕМАЛА ГВАТЕМАЛА</v>
      </c>
      <c r="D244" s="2" t="str">
        <v>Мунисипаль-Истапа</v>
      </c>
      <c r="E244" s="3">
        <f>-</f>
      </c>
      <c r="F244" s="3">
        <f>-</f>
      </c>
      <c r="G244" s="3">
        <f>-</f>
      </c>
      <c r="H244" s="3">
        <f>=ROUND((1000/((1000/E244) + (1000/f244))),2)</f>
      </c>
      <c r="I244" s="3">
        <f>=ROUND((1000/((1000/E244) + (1000/G244))),2)</f>
      </c>
      <c r="J244" s="3">
        <f>=ROUND((1000/((1000/F244) + (1000/G244))),2)</f>
      </c>
    </row>
    <row r="245">
      <c r="A245" s="2" t="str">
        <v>01/05 ВС</v>
      </c>
      <c r="B245" s="2" t="str">
        <v>05:00</v>
      </c>
      <c r="C245" s="2" t="str">
        <v>ГВАТЕМАЛА ГВАТЕМАЛА</v>
      </c>
      <c r="D245" s="2" t="str">
        <v>Антигуа-Комуникасьонес</v>
      </c>
      <c r="E245" s="3">
        <f>-</f>
      </c>
      <c r="F245" s="3">
        <f>-</f>
      </c>
      <c r="G245" s="3">
        <f>-</f>
      </c>
      <c r="H245" s="3">
        <f>=ROUND((1000/((1000/E245) + (1000/f245))),2)</f>
      </c>
      <c r="I245" s="3">
        <f>=ROUND((1000/((1000/E245) + (1000/G245))),2)</f>
      </c>
      <c r="J245" s="3">
        <f>=ROUND((1000/((1000/F245) + (1000/G245))),2)</f>
      </c>
    </row>
    <row r="246">
      <c r="A246" s="2" t="str">
        <v>01/05 ВС</v>
      </c>
      <c r="B246" s="2" t="str">
        <v>21:00</v>
      </c>
      <c r="C246" s="2" t="str">
        <v>ГВАТЕМАЛА ГВАТЕМАЛА</v>
      </c>
      <c r="D246" s="2" t="str">
        <v>Солола-Депортиво Малакатеко</v>
      </c>
      <c r="E246" s="3">
        <f>-</f>
      </c>
      <c r="F246" s="3">
        <f>-</f>
      </c>
      <c r="G246" s="3">
        <f>-</f>
      </c>
      <c r="H246" s="3">
        <f>=ROUND((1000/((1000/E246) + (1000/f246))),2)</f>
      </c>
      <c r="I246" s="3">
        <f>=ROUND((1000/((1000/E246) + (1000/G246))),2)</f>
      </c>
      <c r="J246" s="3">
        <f>=ROUND((1000/((1000/F246) + (1000/G246))),2)</f>
      </c>
    </row>
    <row r="247">
      <c r="A247" s="2" t="str">
        <v>01/05 ВС</v>
      </c>
      <c r="B247" s="2" t="str">
        <v>22:00</v>
      </c>
      <c r="C247" s="2" t="str">
        <v>ГВАТЕМАЛА ГВАТЕМАЛА</v>
      </c>
      <c r="D247" s="2" t="str">
        <v>Депортиво Ачуапа-Кобан Империаль</v>
      </c>
      <c r="E247" s="3">
        <f>-</f>
      </c>
      <c r="F247" s="3">
        <f>-</f>
      </c>
      <c r="G247" s="3">
        <f>-</f>
      </c>
      <c r="H247" s="3">
        <f>=ROUND((1000/((1000/E247) + (1000/f247))),2)</f>
      </c>
      <c r="I247" s="3">
        <f>=ROUND((1000/((1000/E247) + (1000/G247))),2)</f>
      </c>
      <c r="J247" s="3">
        <f>=ROUND((1000/((1000/F247) + (1000/G247))),2)</f>
      </c>
    </row>
    <row r="248">
      <c r="A248" s="2" t="str">
        <v>01/05 ВС</v>
      </c>
      <c r="B248" s="2" t="str">
        <v>17:00</v>
      </c>
      <c r="C248" s="2" t="str">
        <v>ГЕРМАНИЯ ГЕРМАНИЯ</v>
      </c>
      <c r="D248" s="2" t="str">
        <v>Ганновершер-Дрохтерсен/Ассель</v>
      </c>
      <c r="E248" s="3">
        <f>-</f>
      </c>
      <c r="F248" s="3">
        <f>-</f>
      </c>
      <c r="G248" s="3">
        <f>-</f>
      </c>
      <c r="H248" s="3">
        <f>=ROUND((1000/((1000/E248) + (1000/f248))),2)</f>
      </c>
      <c r="I248" s="3">
        <f>=ROUND((1000/((1000/E248) + (1000/G248))),2)</f>
      </c>
      <c r="J248" s="3">
        <f>=ROUND((1000/((1000/F248) + (1000/G248))),2)</f>
      </c>
    </row>
    <row r="249">
      <c r="A249" s="2" t="str">
        <v>01/05 ВС</v>
      </c>
      <c r="B249" s="2" t="str">
        <v>17:00</v>
      </c>
      <c r="C249" s="2" t="str">
        <v>ГЕРМАНИЯ ГЕРМАНИЯ</v>
      </c>
      <c r="D249" s="2" t="str">
        <v>Люнебургер Ганза-Альтона</v>
      </c>
      <c r="E249" s="3">
        <f>-</f>
      </c>
      <c r="F249" s="3">
        <f>-</f>
      </c>
      <c r="G249" s="3">
        <f>-</f>
      </c>
      <c r="H249" s="3">
        <f>=ROUND((1000/((1000/E249) + (1000/f249))),2)</f>
      </c>
      <c r="I249" s="3">
        <f>=ROUND((1000/((1000/E249) + (1000/G249))),2)</f>
      </c>
      <c r="J249" s="3">
        <f>=ROUND((1000/((1000/F249) + (1000/G249))),2)</f>
      </c>
    </row>
    <row r="250">
      <c r="A250" s="2" t="str">
        <v>01/05 ВС</v>
      </c>
      <c r="B250" s="2" t="str">
        <v>16:00</v>
      </c>
      <c r="C250" s="2" t="str">
        <v>ГЕРМАНИЯ ГЕРМАНИЯ</v>
      </c>
      <c r="D250" s="2" t="str">
        <v>Тевтония Оттензен-Ольденбург</v>
      </c>
      <c r="E250" s="3">
        <f>-</f>
      </c>
      <c r="F250" s="3">
        <f>-</f>
      </c>
      <c r="G250" s="3">
        <f>-</f>
      </c>
      <c r="H250" s="3">
        <f>=ROUND((1000/((1000/E250) + (1000/f250))),2)</f>
      </c>
      <c r="I250" s="3">
        <f>=ROUND((1000/((1000/E250) + (1000/G250))),2)</f>
      </c>
      <c r="J250" s="3">
        <f>=ROUND((1000/((1000/F250) + (1000/G250))),2)</f>
      </c>
    </row>
    <row r="251">
      <c r="A251" s="2" t="str">
        <v>01/05 ВС</v>
      </c>
      <c r="B251" s="2" t="str">
        <v>16:00</v>
      </c>
      <c r="C251" s="2" t="str">
        <v>ГЕРМАНИЯ ГЕРМАНИЯ</v>
      </c>
      <c r="D251" s="2" t="str">
        <v>Хольштайн Киль II-Дельменхорст</v>
      </c>
      <c r="E251" s="3">
        <f>-</f>
      </c>
      <c r="F251" s="3">
        <f>-</f>
      </c>
      <c r="G251" s="3">
        <f>-</f>
      </c>
      <c r="H251" s="3">
        <f>=ROUND((1000/((1000/E251) + (1000/f251))),2)</f>
      </c>
      <c r="I251" s="3">
        <f>=ROUND((1000/((1000/E251) + (1000/G251))),2)</f>
      </c>
      <c r="J251" s="3">
        <f>=ROUND((1000/((1000/F251) + (1000/G251))),2)</f>
      </c>
    </row>
    <row r="252">
      <c r="A252" s="2" t="str">
        <v>01/05 ВС</v>
      </c>
      <c r="B252" s="2" t="str">
        <v>15:00</v>
      </c>
      <c r="C252" s="2" t="str">
        <v>ГЕРМАНИЯ ГЕРМАНИЯ</v>
      </c>
      <c r="D252" s="2" t="str">
        <v>Хальберштадт-Тасмания Берлин</v>
      </c>
      <c r="E252" s="3">
        <f>-</f>
      </c>
      <c r="F252" s="3">
        <f>-</f>
      </c>
      <c r="G252" s="3">
        <f>-</f>
      </c>
      <c r="H252" s="3">
        <f>=ROUND((1000/((1000/E252) + (1000/f252))),2)</f>
      </c>
      <c r="I252" s="3">
        <f>=ROUND((1000/((1000/E252) + (1000/G252))),2)</f>
      </c>
      <c r="J252" s="3">
        <f>=ROUND((1000/((1000/F252) + (1000/G252))),2)</f>
      </c>
    </row>
    <row r="253">
      <c r="A253" s="2" t="str">
        <v>01/05 ВС</v>
      </c>
      <c r="B253" s="2" t="str">
        <v>15:00</v>
      </c>
      <c r="C253" s="2" t="str">
        <v>ГЕРМАНИЯ ГЕРМАНИЯ</v>
      </c>
      <c r="D253" s="2" t="str">
        <v>Энерги-Лихтенберг</v>
      </c>
      <c r="E253" s="3">
        <f>-</f>
      </c>
      <c r="F253" s="3">
        <f>-</f>
      </c>
      <c r="G253" s="3">
        <f>-</f>
      </c>
      <c r="H253" s="3">
        <f>=ROUND((1000/((1000/E253) + (1000/f253))),2)</f>
      </c>
      <c r="I253" s="3">
        <f>=ROUND((1000/((1000/E253) + (1000/G253))),2)</f>
      </c>
      <c r="J253" s="3">
        <f>=ROUND((1000/((1000/F253) + (1000/G253))),2)</f>
      </c>
    </row>
    <row r="254">
      <c r="A254" s="2" t="str">
        <v>01/05 ВС</v>
      </c>
      <c r="B254" s="2" t="str">
        <v>16:00</v>
      </c>
      <c r="C254" s="2" t="str">
        <v>ГЕРМАНИЯ ГЕРМАНИЯ</v>
      </c>
      <c r="D254" s="2" t="str">
        <v>Майнц II-Пирмазенс</v>
      </c>
      <c r="E254" s="3">
        <f>-</f>
      </c>
      <c r="F254" s="3">
        <f>-</f>
      </c>
      <c r="G254" s="3">
        <f>-</f>
      </c>
      <c r="H254" s="3">
        <f>=ROUND((1000/((1000/E254) + (1000/f254))),2)</f>
      </c>
      <c r="I254" s="3">
        <f>=ROUND((1000/((1000/E254) + (1000/G254))),2)</f>
      </c>
      <c r="J254" s="3">
        <f>=ROUND((1000/((1000/F254) + (1000/G254))),2)</f>
      </c>
    </row>
    <row r="255">
      <c r="A255" s="2" t="str">
        <v>01/05 ВС</v>
      </c>
      <c r="B255" s="2" t="str">
        <v>16:00</v>
      </c>
      <c r="C255" s="2" t="str">
        <v>ГЕРМАНИЯ ГЕРМАНИЯ</v>
      </c>
      <c r="D255" s="2" t="str">
        <v>Оффенбах-Гроссашпах</v>
      </c>
      <c r="E255" s="3">
        <f>-</f>
      </c>
      <c r="F255" s="3">
        <f>-</f>
      </c>
      <c r="G255" s="3">
        <f>-</f>
      </c>
      <c r="H255" s="3">
        <f>=ROUND((1000/((1000/E255) + (1000/f255))),2)</f>
      </c>
      <c r="I255" s="3">
        <f>=ROUND((1000/((1000/E255) + (1000/G255))),2)</f>
      </c>
      <c r="J255" s="3">
        <f>=ROUND((1000/((1000/F255) + (1000/G255))),2)</f>
      </c>
    </row>
    <row r="256">
      <c r="A256" s="2" t="str">
        <v>01/05 ВС</v>
      </c>
      <c r="B256" s="2" t="str">
        <v>16:00</v>
      </c>
      <c r="C256" s="2" t="str">
        <v>ГЕРМАНИЯ ГЕРМАНИЯ</v>
      </c>
      <c r="D256" s="2" t="str">
        <v>Бавария II-Гройтер II</v>
      </c>
      <c r="E256" s="3">
        <f>-</f>
      </c>
      <c r="F256" s="3">
        <f>-</f>
      </c>
      <c r="G256" s="3">
        <f>-</f>
      </c>
      <c r="H256" s="3">
        <f>=ROUND((1000/((1000/E256) + (1000/f256))),2)</f>
      </c>
      <c r="I256" s="3">
        <f>=ROUND((1000/((1000/E256) + (1000/G256))),2)</f>
      </c>
      <c r="J256" s="3">
        <f>=ROUND((1000/((1000/F256) + (1000/G256))),2)</f>
      </c>
    </row>
    <row r="257" xml:space="preserve">
      <c r="A257" s="2" t="str">
        <v>01/05 ВС</v>
      </c>
      <c r="B257" s="2" t="str" xml:space="preserve">
        <v xml:space="preserve">16:00_x000d_
TKP</v>
      </c>
      <c r="C257" s="2" t="str">
        <v>ГЕРМАНИЯ ГЕРМАНИЯ</v>
      </c>
      <c r="D257" s="2" t="str">
        <v>Бранденбургер-Штерн</v>
      </c>
      <c r="E257" s="3">
        <f>-</f>
      </c>
      <c r="F257" s="3">
        <f>-</f>
      </c>
      <c r="G257" s="3">
        <f>-</f>
      </c>
      <c r="H257" s="3">
        <f>=ROUND((1000/((1000/E257) + (1000/f257))),2)</f>
      </c>
      <c r="I257" s="3">
        <f>=ROUND((1000/((1000/E257) + (1000/G257))),2)</f>
      </c>
      <c r="J257" s="3">
        <f>=ROUND((1000/((1000/F257) + (1000/G257))),2)</f>
      </c>
    </row>
    <row r="258" xml:space="preserve">
      <c r="A258" s="2" t="str">
        <v>01/05 ВС</v>
      </c>
      <c r="B258" s="2" t="str" xml:space="preserve">
        <v xml:space="preserve">16:00_x000d_
TKP</v>
      </c>
      <c r="C258" s="2" t="str">
        <v>ГЕРМАНИЯ ГЕРМАНИЯ</v>
      </c>
      <c r="D258" s="2" t="str">
        <v>Ганза Росток II-Торгеловер Грайф</v>
      </c>
      <c r="E258" s="3">
        <f>-</f>
      </c>
      <c r="F258" s="3">
        <f>-</f>
      </c>
      <c r="G258" s="3">
        <f>-</f>
      </c>
      <c r="H258" s="3">
        <f>=ROUND((1000/((1000/E258) + (1000/f258))),2)</f>
      </c>
      <c r="I258" s="3">
        <f>=ROUND((1000/((1000/E258) + (1000/G258))),2)</f>
      </c>
      <c r="J258" s="3">
        <f>=ROUND((1000/((1000/F258) + (1000/G258))),2)</f>
      </c>
    </row>
    <row r="259" xml:space="preserve">
      <c r="A259" s="2" t="str">
        <v>01/05 ВС</v>
      </c>
      <c r="B259" s="2" t="str" xml:space="preserve">
        <v xml:space="preserve">16:00_x000d_
TKP</v>
      </c>
      <c r="C259" s="2" t="str">
        <v>ГЕРМАНИЯ ГЕРМАНИЯ</v>
      </c>
      <c r="D259" s="2" t="str">
        <v>Грайфсвальд-Нойруппин</v>
      </c>
      <c r="E259" s="3">
        <f>-</f>
      </c>
      <c r="F259" s="3">
        <f>-</f>
      </c>
      <c r="G259" s="3">
        <f>-</f>
      </c>
      <c r="H259" s="3">
        <f>=ROUND((1000/((1000/E259) + (1000/f259))),2)</f>
      </c>
      <c r="I259" s="3">
        <f>=ROUND((1000/((1000/E259) + (1000/G259))),2)</f>
      </c>
      <c r="J259" s="3">
        <f>=ROUND((1000/((1000/F259) + (1000/G259))),2)</f>
      </c>
    </row>
    <row r="260" xml:space="preserve">
      <c r="A260" s="2" t="str">
        <v>01/05 ВС</v>
      </c>
      <c r="B260" s="2" t="str" xml:space="preserve">
        <v xml:space="preserve">16:00_x000d_
TKP</v>
      </c>
      <c r="C260" s="2" t="str">
        <v>ГЕРМАНИЯ ГЕРМАНИЯ</v>
      </c>
      <c r="D260" s="2" t="str">
        <v>Нойстрелиц-Пэмпоу</v>
      </c>
      <c r="E260" s="3">
        <f>-</f>
      </c>
      <c r="F260" s="3">
        <f>-</f>
      </c>
      <c r="G260" s="3">
        <f>-</f>
      </c>
      <c r="H260" s="3">
        <f>=ROUND((1000/((1000/E260) + (1000/f260))),2)</f>
      </c>
      <c r="I260" s="3">
        <f>=ROUND((1000/((1000/E260) + (1000/G260))),2)</f>
      </c>
      <c r="J260" s="3">
        <f>=ROUND((1000/((1000/F260) + (1000/G260))),2)</f>
      </c>
    </row>
    <row r="261" xml:space="preserve">
      <c r="A261" s="2" t="str">
        <v>01/05 ВС</v>
      </c>
      <c r="B261" s="2" t="str" xml:space="preserve">
        <v xml:space="preserve">16:00_x000d_
TKP</v>
      </c>
      <c r="C261" s="2" t="str">
        <v>ГЕРМАНИЯ ГЕРМАНИЯ</v>
      </c>
      <c r="D261" s="2" t="str">
        <v>Целендорф-Зелов</v>
      </c>
      <c r="E261" s="3">
        <f>-</f>
      </c>
      <c r="F261" s="3">
        <f>-</f>
      </c>
      <c r="G261" s="3">
        <f>-</f>
      </c>
      <c r="H261" s="3">
        <f>=ROUND((1000/((1000/E261) + (1000/f261))),2)</f>
      </c>
      <c r="I261" s="3">
        <f>=ROUND((1000/((1000/E261) + (1000/G261))),2)</f>
      </c>
      <c r="J261" s="3">
        <f>=ROUND((1000/((1000/F261) + (1000/G261))),2)</f>
      </c>
    </row>
    <row r="262" xml:space="preserve">
      <c r="A262" s="2" t="str">
        <v>01/05 ВС</v>
      </c>
      <c r="B262" s="2" t="str" xml:space="preserve">
        <v xml:space="preserve">16:00_x000d_
TKP</v>
      </c>
      <c r="C262" s="2" t="str">
        <v>ГЕРМАНИЯ ГЕРМАНИЯ</v>
      </c>
      <c r="D262" s="2" t="str">
        <v>ШФК Герта-Мальсдорф</v>
      </c>
      <c r="E262" s="3">
        <f>-</f>
      </c>
      <c r="F262" s="3">
        <f>-</f>
      </c>
      <c r="G262" s="3">
        <f>-</f>
      </c>
      <c r="H262" s="3">
        <f>=ROUND((1000/((1000/E262) + (1000/f262))),2)</f>
      </c>
      <c r="I262" s="3">
        <f>=ROUND((1000/((1000/E262) + (1000/G262))),2)</f>
      </c>
      <c r="J262" s="3">
        <f>=ROUND((1000/((1000/F262) + (1000/G262))),2)</f>
      </c>
    </row>
    <row r="263" xml:space="preserve">
      <c r="A263" s="2" t="str">
        <v>01/05 ВС</v>
      </c>
      <c r="B263" s="2" t="str" xml:space="preserve">
        <v xml:space="preserve">17:00_x000d_
TKP</v>
      </c>
      <c r="C263" s="2" t="str">
        <v>ГЕРМАНИЯ ГЕРМАНИЯ</v>
      </c>
      <c r="D263" s="2" t="str">
        <v>Фризия Ризум-Линдхольм-Ойтин</v>
      </c>
      <c r="E263" s="3">
        <f>-</f>
      </c>
      <c r="F263" s="3">
        <f>-</f>
      </c>
      <c r="G263" s="3">
        <f>-</f>
      </c>
      <c r="H263" s="3">
        <f>=ROUND((1000/((1000/E263) + (1000/f263))),2)</f>
      </c>
      <c r="I263" s="3">
        <f>=ROUND((1000/((1000/E263) + (1000/G263))),2)</f>
      </c>
      <c r="J263" s="3">
        <f>=ROUND((1000/((1000/F263) + (1000/G263))),2)</f>
      </c>
    </row>
    <row r="264" xml:space="preserve">
      <c r="A264" s="2" t="str">
        <v>01/05 ВС</v>
      </c>
      <c r="B264" s="2" t="str" xml:space="preserve">
        <v xml:space="preserve">18:00_x000d_
TKP</v>
      </c>
      <c r="C264" s="2" t="str">
        <v>ГЕРМАНИЯ ГЕРМАНИЯ</v>
      </c>
      <c r="D264" s="2" t="str">
        <v>Интер Тюркспор Киль-Тодесфельде</v>
      </c>
      <c r="E264" s="3">
        <f>-</f>
      </c>
      <c r="F264" s="3">
        <f>-</f>
      </c>
      <c r="G264" s="3">
        <f>-</f>
      </c>
      <c r="H264" s="3">
        <f>=ROUND((1000/((1000/E264) + (1000/f264))),2)</f>
      </c>
      <c r="I264" s="3">
        <f>=ROUND((1000/((1000/E264) + (1000/G264))),2)</f>
      </c>
      <c r="J264" s="3">
        <f>=ROUND((1000/((1000/F264) + (1000/G264))),2)</f>
      </c>
    </row>
    <row r="265" xml:space="preserve">
      <c r="A265" s="2" t="str">
        <v>01/05 ВС</v>
      </c>
      <c r="B265" s="2" t="str" xml:space="preserve">
        <v xml:space="preserve">16:00_x000d_
TKP</v>
      </c>
      <c r="C265" s="2" t="str">
        <v>ГЕРМАНИЯ ГЕРМАНИЯ</v>
      </c>
      <c r="D265" s="2" t="str">
        <v>Бухгольц 08-Вандсбекер Конкордия</v>
      </c>
      <c r="E265" s="3">
        <f>-</f>
      </c>
      <c r="F265" s="3">
        <f>-</f>
      </c>
      <c r="G265" s="3">
        <f>-</f>
      </c>
      <c r="H265" s="3">
        <f>=ROUND((1000/((1000/E265) + (1000/f265))),2)</f>
      </c>
      <c r="I265" s="3">
        <f>=ROUND((1000/((1000/E265) + (1000/G265))),2)</f>
      </c>
      <c r="J265" s="3">
        <f>=ROUND((1000/((1000/F265) + (1000/G265))),2)</f>
      </c>
    </row>
    <row r="266" xml:space="preserve">
      <c r="A266" s="2" t="str">
        <v>01/05 ВС</v>
      </c>
      <c r="B266" s="2" t="str" xml:space="preserve">
        <v xml:space="preserve">16:00_x000d_
TKP</v>
      </c>
      <c r="C266" s="2" t="str">
        <v>ГЕРМАНИЯ ГЕРМАНИЯ</v>
      </c>
      <c r="D266" s="2" t="str">
        <v>Ругенберген-Брамфельдер</v>
      </c>
      <c r="E266" s="3">
        <f>-</f>
      </c>
      <c r="F266" s="3">
        <f>-</f>
      </c>
      <c r="G266" s="3">
        <f>-</f>
      </c>
      <c r="H266" s="3">
        <f>=ROUND((1000/((1000/E266) + (1000/f266))),2)</f>
      </c>
      <c r="I266" s="3">
        <f>=ROUND((1000/((1000/E266) + (1000/G266))),2)</f>
      </c>
      <c r="J266" s="3">
        <f>=ROUND((1000/((1000/F266) + (1000/G266))),2)</f>
      </c>
    </row>
    <row r="267" xml:space="preserve">
      <c r="A267" s="2" t="str">
        <v>01/05 ВС</v>
      </c>
      <c r="B267" s="2" t="str" xml:space="preserve">
        <v xml:space="preserve">13:00_x000d_
TKP</v>
      </c>
      <c r="C267" s="2" t="str">
        <v>ГЕРМАНИЯ ГЕРМАНИЯ</v>
      </c>
      <c r="D267" s="2" t="str">
        <v>Геестмюнде-Бремер</v>
      </c>
      <c r="E267" s="3">
        <f>-</f>
      </c>
      <c r="F267" s="3">
        <f>-</f>
      </c>
      <c r="G267" s="3">
        <f>-</f>
      </c>
      <c r="H267" s="3">
        <f>=ROUND((1000/((1000/E267) + (1000/f267))),2)</f>
      </c>
      <c r="I267" s="3">
        <f>=ROUND((1000/((1000/E267) + (1000/G267))),2)</f>
      </c>
      <c r="J267" s="3">
        <f>=ROUND((1000/((1000/F267) + (1000/G267))),2)</f>
      </c>
    </row>
    <row r="268" xml:space="preserve">
      <c r="A268" s="2" t="str">
        <v>01/05 ВС</v>
      </c>
      <c r="B268" s="2" t="str" xml:space="preserve">
        <v xml:space="preserve">16:00_x000d_
TKP</v>
      </c>
      <c r="C268" s="2" t="str">
        <v>ГЕРМАНИЯ ГЕРМАНИЯ</v>
      </c>
      <c r="D268" s="2" t="str">
        <v>Бринкумер-Швахгаузен</v>
      </c>
      <c r="E268" s="3">
        <f>-</f>
      </c>
      <c r="F268" s="3">
        <f>-</f>
      </c>
      <c r="G268" s="3">
        <f>-</f>
      </c>
      <c r="H268" s="3">
        <f>=ROUND((1000/((1000/E268) + (1000/f268))),2)</f>
      </c>
      <c r="I268" s="3">
        <f>=ROUND((1000/((1000/E268) + (1000/G268))),2)</f>
      </c>
      <c r="J268" s="3">
        <f>=ROUND((1000/((1000/F268) + (1000/G268))),2)</f>
      </c>
    </row>
    <row r="269" xml:space="preserve">
      <c r="A269" s="2" t="str">
        <v>01/05 ВС</v>
      </c>
      <c r="B269" s="2" t="str" xml:space="preserve">
        <v xml:space="preserve">16:00_x000d_
TKP</v>
      </c>
      <c r="C269" s="2" t="str">
        <v>ГЕРМАНИЯ ГЕРМАНИЯ</v>
      </c>
      <c r="D269" s="2" t="str">
        <v>Леер-Бремерхавен</v>
      </c>
      <c r="E269" s="3">
        <f>-</f>
      </c>
      <c r="F269" s="3">
        <f>-</f>
      </c>
      <c r="G269" s="3">
        <f>-</f>
      </c>
      <c r="H269" s="3">
        <f>=ROUND((1000/((1000/E269) + (1000/f269))),2)</f>
      </c>
      <c r="I269" s="3">
        <f>=ROUND((1000/((1000/E269) + (1000/G269))),2)</f>
      </c>
      <c r="J269" s="3">
        <f>=ROUND((1000/((1000/F269) + (1000/G269))),2)</f>
      </c>
    </row>
    <row r="270" xml:space="preserve">
      <c r="A270" s="2" t="str">
        <v>01/05 ВС</v>
      </c>
      <c r="B270" s="2" t="str" xml:space="preserve">
        <v xml:space="preserve">16:00_x000d_
TKP</v>
      </c>
      <c r="C270" s="2" t="str">
        <v>ГЕРМАНИЯ ГЕРМАНИЯ</v>
      </c>
      <c r="D270" s="2" t="str">
        <v>Хемелинген-Бремерхафен</v>
      </c>
      <c r="E270" s="3">
        <f>-</f>
      </c>
      <c r="F270" s="3">
        <f>-</f>
      </c>
      <c r="G270" s="3">
        <f>-</f>
      </c>
      <c r="H270" s="3">
        <f>=ROUND((1000/((1000/E270) + (1000/f270))),2)</f>
      </c>
      <c r="I270" s="3">
        <f>=ROUND((1000/((1000/E270) + (1000/G270))),2)</f>
      </c>
      <c r="J270" s="3">
        <f>=ROUND((1000/((1000/F270) + (1000/G270))),2)</f>
      </c>
    </row>
    <row r="271" xml:space="preserve">
      <c r="A271" s="2" t="str">
        <v>01/05 ВС</v>
      </c>
      <c r="B271" s="2" t="str" xml:space="preserve">
        <v xml:space="preserve">17:00_x000d_
TKP</v>
      </c>
      <c r="C271" s="2" t="str">
        <v>ГЕРМАНИЯ ГЕРМАНИЯ</v>
      </c>
      <c r="D271" s="2" t="str">
        <v>Боргфельд-Комет Арстен</v>
      </c>
      <c r="E271" s="3">
        <f>-</f>
      </c>
      <c r="F271" s="3">
        <f>-</f>
      </c>
      <c r="G271" s="3">
        <f>-</f>
      </c>
      <c r="H271" s="3">
        <f>=ROUND((1000/((1000/E271) + (1000/f271))),2)</f>
      </c>
      <c r="I271" s="3">
        <f>=ROUND((1000/((1000/E271) + (1000/G271))),2)</f>
      </c>
      <c r="J271" s="3">
        <f>=ROUND((1000/((1000/F271) + (1000/G271))),2)</f>
      </c>
    </row>
    <row r="272" xml:space="preserve">
      <c r="A272" s="2" t="str">
        <v>01/05 ВС</v>
      </c>
      <c r="B272" s="2" t="str" xml:space="preserve">
        <v xml:space="preserve">17:00_x000d_
TKP</v>
      </c>
      <c r="C272" s="2" t="str">
        <v>ГЕРМАНИЯ ГЕРМАНИЯ</v>
      </c>
      <c r="D272" s="2" t="str">
        <v>Хаштедт-Аумунд-Фегезак</v>
      </c>
      <c r="E272" s="3">
        <f>-</f>
      </c>
      <c r="F272" s="3">
        <f>-</f>
      </c>
      <c r="G272" s="3">
        <f>-</f>
      </c>
      <c r="H272" s="3">
        <f>=ROUND((1000/((1000/E272) + (1000/f272))),2)</f>
      </c>
      <c r="I272" s="3">
        <f>=ROUND((1000/((1000/E272) + (1000/G272))),2)</f>
      </c>
      <c r="J272" s="3">
        <f>=ROUND((1000/((1000/F272) + (1000/G272))),2)</f>
      </c>
    </row>
    <row r="273" xml:space="preserve">
      <c r="A273" s="2" t="str">
        <v>01/05 ВС</v>
      </c>
      <c r="B273" s="2" t="str" xml:space="preserve">
        <v xml:space="preserve">17:30_x000d_
TKP</v>
      </c>
      <c r="C273" s="2" t="str">
        <v>ГЕРМАНИЯ ГЕРМАНИЯ</v>
      </c>
      <c r="D273" s="2" t="str">
        <v>Хабенхаузер-Унион 60 Бремен</v>
      </c>
      <c r="E273" s="3">
        <f>-</f>
      </c>
      <c r="F273" s="3">
        <f>-</f>
      </c>
      <c r="G273" s="3">
        <f>-</f>
      </c>
      <c r="H273" s="3">
        <f>=ROUND((1000/((1000/E273) + (1000/f273))),2)</f>
      </c>
      <c r="I273" s="3">
        <f>=ROUND((1000/((1000/E273) + (1000/G273))),2)</f>
      </c>
      <c r="J273" s="3">
        <f>=ROUND((1000/((1000/F273) + (1000/G273))),2)</f>
      </c>
    </row>
    <row r="274" xml:space="preserve">
      <c r="A274" s="2" t="str">
        <v>01/05 ВС</v>
      </c>
      <c r="B274" s="2" t="str" xml:space="preserve">
        <v xml:space="preserve">17:00_x000d_
TKP</v>
      </c>
      <c r="C274" s="2" t="str">
        <v>ГЕРМАНИЯ ГЕРМАНИЯ</v>
      </c>
      <c r="D274" s="2" t="str">
        <v>Арминия Ганновер-Шпелле-Венхаус</v>
      </c>
      <c r="E274" s="3">
        <f>-</f>
      </c>
      <c r="F274" s="3">
        <f>-</f>
      </c>
      <c r="G274" s="3">
        <f>-</f>
      </c>
      <c r="H274" s="3">
        <f>=ROUND((1000/((1000/E274) + (1000/f274))),2)</f>
      </c>
      <c r="I274" s="3">
        <f>=ROUND((1000/((1000/E274) + (1000/G274))),2)</f>
      </c>
      <c r="J274" s="3">
        <f>=ROUND((1000/((1000/F274) + (1000/G274))),2)</f>
      </c>
    </row>
    <row r="275" xml:space="preserve">
      <c r="A275" s="2" t="str">
        <v>01/05 ВС</v>
      </c>
      <c r="B275" s="2" t="str" xml:space="preserve">
        <v xml:space="preserve">17:00_x000d_
TKP</v>
      </c>
      <c r="C275" s="2" t="str">
        <v>ГЕРМАНИЯ ГЕРМАНИЯ</v>
      </c>
      <c r="D275" s="2" t="str">
        <v>Люпо-Мартини Вольфсбург-Лоне</v>
      </c>
      <c r="E275" s="3">
        <f>-</f>
      </c>
      <c r="F275" s="3">
        <f>-</f>
      </c>
      <c r="G275" s="3">
        <f>-</f>
      </c>
      <c r="H275" s="3">
        <f>=ROUND((1000/((1000/E275) + (1000/f275))),2)</f>
      </c>
      <c r="I275" s="3">
        <f>=ROUND((1000/((1000/E275) + (1000/G275))),2)</f>
      </c>
      <c r="J275" s="3">
        <f>=ROUND((1000/((1000/F275) + (1000/G275))),2)</f>
      </c>
    </row>
    <row r="276" xml:space="preserve">
      <c r="A276" s="2" t="str">
        <v>01/05 ВС</v>
      </c>
      <c r="B276" s="2" t="str" xml:space="preserve">
        <v xml:space="preserve">17:00_x000d_
TKP</v>
      </c>
      <c r="C276" s="2" t="str">
        <v>ГЕРМАНИЯ ГЕРМАНИЯ</v>
      </c>
      <c r="D276" s="2" t="str">
        <v>Эгесторф-Лангредер-Хееслингер</v>
      </c>
      <c r="E276" s="3">
        <f>-</f>
      </c>
      <c r="F276" s="3">
        <f>-</f>
      </c>
      <c r="G276" s="3">
        <f>-</f>
      </c>
      <c r="H276" s="3">
        <f>=ROUND((1000/((1000/E276) + (1000/f276))),2)</f>
      </c>
      <c r="I276" s="3">
        <f>=ROUND((1000/((1000/E276) + (1000/G276))),2)</f>
      </c>
      <c r="J276" s="3">
        <f>=ROUND((1000/((1000/F276) + (1000/G276))),2)</f>
      </c>
    </row>
    <row r="277" xml:space="preserve">
      <c r="A277" s="2" t="str">
        <v>01/05 ВС</v>
      </c>
      <c r="B277" s="2" t="str" xml:space="preserve">
        <v xml:space="preserve">16:00_x000d_
TKP</v>
      </c>
      <c r="C277" s="2" t="str">
        <v>ГЕРМАНИЯ ГЕРМАНИЯ</v>
      </c>
      <c r="D277" s="2" t="str">
        <v>Айнтрахт Нортхайм-Айнтрахт Целе</v>
      </c>
      <c r="E277" s="3">
        <f>-</f>
      </c>
      <c r="F277" s="3">
        <f>-</f>
      </c>
      <c r="G277" s="3">
        <f>-</f>
      </c>
      <c r="H277" s="3">
        <f>=ROUND((1000/((1000/E277) + (1000/f277))),2)</f>
      </c>
      <c r="I277" s="3">
        <f>=ROUND((1000/((1000/E277) + (1000/G277))),2)</f>
      </c>
      <c r="J277" s="3">
        <f>=ROUND((1000/((1000/F277) + (1000/G277))),2)</f>
      </c>
    </row>
    <row r="278" xml:space="preserve">
      <c r="A278" s="2" t="str">
        <v>01/05 ВС</v>
      </c>
      <c r="B278" s="2" t="str" xml:space="preserve">
        <v xml:space="preserve">17:00_x000d_
TKP</v>
      </c>
      <c r="C278" s="2" t="str">
        <v>ГЕРМАНИЯ ГЕРМАНИЯ</v>
      </c>
      <c r="D278" s="2" t="str">
        <v>РСВ Майнерцхаген-Хаммер ШпФгг.</v>
      </c>
      <c r="E278" s="3">
        <f>-</f>
      </c>
      <c r="F278" s="3">
        <f>-</f>
      </c>
      <c r="G278" s="3">
        <f>-</f>
      </c>
      <c r="H278" s="3">
        <f>=ROUND((1000/((1000/E278) + (1000/f278))),2)</f>
      </c>
      <c r="I278" s="3">
        <f>=ROUND((1000/((1000/E278) + (1000/G278))),2)</f>
      </c>
      <c r="J278" s="3">
        <f>=ROUND((1000/((1000/F278) + (1000/G278))),2)</f>
      </c>
    </row>
    <row r="279" xml:space="preserve">
      <c r="A279" s="2" t="str">
        <v>01/05 ВС</v>
      </c>
      <c r="B279" s="2" t="str" xml:space="preserve">
        <v xml:space="preserve">17:00_x000d_
TKP</v>
      </c>
      <c r="C279" s="2" t="str">
        <v>ГЕРМАНИЯ ГЕРМАНИЯ</v>
      </c>
      <c r="D279" s="2" t="str">
        <v>Фреден-Вестафалия Херн</v>
      </c>
      <c r="E279" s="3">
        <f>-</f>
      </c>
      <c r="F279" s="3">
        <f>-</f>
      </c>
      <c r="G279" s="3">
        <f>-</f>
      </c>
      <c r="H279" s="3">
        <f>=ROUND((1000/((1000/E279) + (1000/f279))),2)</f>
      </c>
      <c r="I279" s="3">
        <f>=ROUND((1000/((1000/E279) + (1000/G279))),2)</f>
      </c>
      <c r="J279" s="3">
        <f>=ROUND((1000/((1000/F279) + (1000/G279))),2)</f>
      </c>
    </row>
    <row r="280" xml:space="preserve">
      <c r="A280" s="2" t="str">
        <v>01/05 ВС</v>
      </c>
      <c r="B280" s="2" t="str" xml:space="preserve">
        <v xml:space="preserve">17:00_x000d_
TKP</v>
      </c>
      <c r="C280" s="2" t="str">
        <v>ГЕРМАНИЯ ГЕРМАНИЯ</v>
      </c>
      <c r="D280" s="2" t="str">
        <v>Хольцвиккедер-Эннепеталь</v>
      </c>
      <c r="E280" s="3">
        <f>-</f>
      </c>
      <c r="F280" s="3">
        <f>-</f>
      </c>
      <c r="G280" s="3">
        <f>-</f>
      </c>
      <c r="H280" s="3">
        <f>=ROUND((1000/((1000/E280) + (1000/f280))),2)</f>
      </c>
      <c r="I280" s="3">
        <f>=ROUND((1000/((1000/E280) + (1000/G280))),2)</f>
      </c>
      <c r="J280" s="3">
        <f>=ROUND((1000/((1000/F280) + (1000/G280))),2)</f>
      </c>
    </row>
    <row r="281" xml:space="preserve">
      <c r="A281" s="2" t="str">
        <v>01/05 ВС</v>
      </c>
      <c r="B281" s="2" t="str" xml:space="preserve">
        <v xml:space="preserve">17:00_x000d_
TKP</v>
      </c>
      <c r="C281" s="2" t="str">
        <v>ГЕРМАНИЯ ГЕРМАНИЯ</v>
      </c>
      <c r="D281" s="2" t="str">
        <v>Шпрокхёфель-Пройссен Мюнстер 2</v>
      </c>
      <c r="E281" s="3">
        <f>-</f>
      </c>
      <c r="F281" s="3">
        <f>-</f>
      </c>
      <c r="G281" s="3">
        <f>-</f>
      </c>
      <c r="H281" s="3">
        <f>=ROUND((1000/((1000/E281) + (1000/f281))),2)</f>
      </c>
      <c r="I281" s="3">
        <f>=ROUND((1000/((1000/E281) + (1000/G281))),2)</f>
      </c>
      <c r="J281" s="3">
        <f>=ROUND((1000/((1000/F281) + (1000/G281))),2)</f>
      </c>
    </row>
    <row r="282" xml:space="preserve">
      <c r="A282" s="2" t="str">
        <v>01/05 ВС</v>
      </c>
      <c r="B282" s="2" t="str" xml:space="preserve">
        <v xml:space="preserve">17:00_x000d_
TKP</v>
      </c>
      <c r="C282" s="2" t="str">
        <v>ГЕРМАНИЯ ГЕРМАНИЯ</v>
      </c>
      <c r="D282" s="2" t="str">
        <v>АСК 09 Дортмунд-Каан-Мариенборн</v>
      </c>
      <c r="E282" s="3">
        <f>-</f>
      </c>
      <c r="F282" s="3">
        <f>-</f>
      </c>
      <c r="G282" s="3">
        <f>-</f>
      </c>
      <c r="H282" s="3">
        <f>=ROUND((1000/((1000/E282) + (1000/f282))),2)</f>
      </c>
      <c r="I282" s="3">
        <f>=ROUND((1000/((1000/E282) + (1000/G282))),2)</f>
      </c>
      <c r="J282" s="3">
        <f>=ROUND((1000/((1000/F282) + (1000/G282))),2)</f>
      </c>
    </row>
    <row r="283" xml:space="preserve">
      <c r="A283" s="2" t="str">
        <v>01/05 ВС</v>
      </c>
      <c r="B283" s="2" t="str" xml:space="preserve">
        <v xml:space="preserve">17:00_x000d_
TKP</v>
      </c>
      <c r="C283" s="2" t="str">
        <v>ГЕРМАНИЯ ГЕРМАНИЯ</v>
      </c>
      <c r="D283" s="2" t="str">
        <v>Ваттеншайд-Гутерслох</v>
      </c>
      <c r="E283" s="3">
        <f>-</f>
      </c>
      <c r="F283" s="3">
        <f>-</f>
      </c>
      <c r="G283" s="3">
        <f>-</f>
      </c>
      <c r="H283" s="3">
        <f>=ROUND((1000/((1000/E283) + (1000/f283))),2)</f>
      </c>
      <c r="I283" s="3">
        <f>=ROUND((1000/((1000/E283) + (1000/G283))),2)</f>
      </c>
      <c r="J283" s="3">
        <f>=ROUND((1000/((1000/F283) + (1000/G283))),2)</f>
      </c>
    </row>
    <row r="284" xml:space="preserve">
      <c r="A284" s="2" t="str">
        <v>01/05 ВС</v>
      </c>
      <c r="B284" s="2" t="str" xml:space="preserve">
        <v xml:space="preserve">17:00_x000d_
TKP</v>
      </c>
      <c r="C284" s="2" t="str">
        <v>ГЕРМАНИЯ ГЕРМАНИЯ</v>
      </c>
      <c r="D284" s="2" t="str">
        <v>Зиген-Шермбек-2020</v>
      </c>
      <c r="E284" s="3">
        <f>-</f>
      </c>
      <c r="F284" s="3">
        <f>-</f>
      </c>
      <c r="G284" s="3">
        <f>-</f>
      </c>
      <c r="H284" s="3">
        <f>=ROUND((1000/((1000/E284) + (1000/f284))),2)</f>
      </c>
      <c r="I284" s="3">
        <f>=ROUND((1000/((1000/E284) + (1000/G284))),2)</f>
      </c>
      <c r="J284" s="3">
        <f>=ROUND((1000/((1000/F284) + (1000/G284))),2)</f>
      </c>
    </row>
    <row r="285" xml:space="preserve">
      <c r="A285" s="2" t="str">
        <v>01/05 ВС</v>
      </c>
      <c r="B285" s="2" t="str" xml:space="preserve">
        <v xml:space="preserve">17:30_x000d_
TKP</v>
      </c>
      <c r="C285" s="2" t="str">
        <v>ГЕРМАНИЯ ГЕРМАНИЯ</v>
      </c>
      <c r="D285" s="2" t="str">
        <v>Эрндтебрюк-Айнтрахт Райне</v>
      </c>
      <c r="E285" s="3">
        <f>-</f>
      </c>
      <c r="F285" s="3">
        <f>-</f>
      </c>
      <c r="G285" s="3">
        <f>-</f>
      </c>
      <c r="H285" s="3">
        <f>=ROUND((1000/((1000/E285) + (1000/f285))),2)</f>
      </c>
      <c r="I285" s="3">
        <f>=ROUND((1000/((1000/E285) + (1000/G285))),2)</f>
      </c>
      <c r="J285" s="3">
        <f>=ROUND((1000/((1000/F285) + (1000/G285))),2)</f>
      </c>
    </row>
    <row r="286" xml:space="preserve">
      <c r="A286" s="2" t="str">
        <v>01/05 ВС</v>
      </c>
      <c r="B286" s="2" t="str" xml:space="preserve">
        <v xml:space="preserve">17:00_x000d_
TKP</v>
      </c>
      <c r="C286" s="2" t="str">
        <v>ГЕРМАНИЯ ГЕРМАНИЯ</v>
      </c>
      <c r="D286" s="2" t="str">
        <v>Бад-Фильбель-Альценау</v>
      </c>
      <c r="E286" s="3">
        <f>-</f>
      </c>
      <c r="F286" s="3">
        <f>-</f>
      </c>
      <c r="G286" s="3">
        <f>-</f>
      </c>
      <c r="H286" s="3">
        <f>=ROUND((1000/((1000/E286) + (1000/f286))),2)</f>
      </c>
      <c r="I286" s="3">
        <f>=ROUND((1000/((1000/E286) + (1000/G286))),2)</f>
      </c>
      <c r="J286" s="3">
        <f>=ROUND((1000/((1000/F286) + (1000/G286))),2)</f>
      </c>
    </row>
    <row r="287" xml:space="preserve">
      <c r="A287" s="2" t="str">
        <v>01/05 ВС</v>
      </c>
      <c r="B287" s="2" t="str" xml:space="preserve">
        <v xml:space="preserve">17:00_x000d_
TKP</v>
      </c>
      <c r="C287" s="2" t="str">
        <v>ГЕРМАНИЯ ГЕРМАНИЯ</v>
      </c>
      <c r="D287" s="2" t="str">
        <v>Вальдорф-Флиден</v>
      </c>
      <c r="E287" s="3">
        <f>-</f>
      </c>
      <c r="F287" s="3">
        <f>-</f>
      </c>
      <c r="G287" s="3">
        <f>-</f>
      </c>
      <c r="H287" s="3">
        <f>=ROUND((1000/((1000/E287) + (1000/f287))),2)</f>
      </c>
      <c r="I287" s="3">
        <f>=ROUND((1000/((1000/E287) + (1000/G287))),2)</f>
      </c>
      <c r="J287" s="3">
        <f>=ROUND((1000/((1000/F287) + (1000/G287))),2)</f>
      </c>
    </row>
    <row r="288" xml:space="preserve">
      <c r="A288" s="2" t="str">
        <v>01/05 ВС</v>
      </c>
      <c r="B288" s="2" t="str" xml:space="preserve">
        <v xml:space="preserve">17:00_x000d_
TKP</v>
      </c>
      <c r="C288" s="2" t="str">
        <v>ГЕРМАНИЯ ГЕРМАНИЯ</v>
      </c>
      <c r="D288" s="2" t="str">
        <v>Виктория Грисхайм-Баунаталь</v>
      </c>
      <c r="E288" s="3">
        <f>-</f>
      </c>
      <c r="F288" s="3">
        <f>-</f>
      </c>
      <c r="G288" s="3">
        <f>-</f>
      </c>
      <c r="H288" s="3">
        <f>=ROUND((1000/((1000/E288) + (1000/f288))),2)</f>
      </c>
      <c r="I288" s="3">
        <f>=ROUND((1000/((1000/E288) + (1000/G288))),2)</f>
      </c>
      <c r="J288" s="3">
        <f>=ROUND((1000/((1000/F288) + (1000/G288))),2)</f>
      </c>
    </row>
    <row r="289" xml:space="preserve">
      <c r="A289" s="2" t="str">
        <v>01/05 ВС</v>
      </c>
      <c r="B289" s="2" t="str" xml:space="preserve">
        <v xml:space="preserve">17:00_x000d_
TKP</v>
      </c>
      <c r="C289" s="2" t="str">
        <v>ГЕРМАНИЯ ГЕРМАНИЯ</v>
      </c>
      <c r="D289" s="2" t="str">
        <v>Гинсхайм-Хунфелдер</v>
      </c>
      <c r="E289" s="3">
        <f>-</f>
      </c>
      <c r="F289" s="3">
        <f>-</f>
      </c>
      <c r="G289" s="3">
        <f>-</f>
      </c>
      <c r="H289" s="3">
        <f>=ROUND((1000/((1000/E289) + (1000/f289))),2)</f>
      </c>
      <c r="I289" s="3">
        <f>=ROUND((1000/((1000/E289) + (1000/G289))),2)</f>
      </c>
      <c r="J289" s="3">
        <f>=ROUND((1000/((1000/F289) + (1000/G289))),2)</f>
      </c>
    </row>
    <row r="290" xml:space="preserve">
      <c r="A290" s="2" t="str">
        <v>01/05 ВС</v>
      </c>
      <c r="B290" s="2" t="str" xml:space="preserve">
        <v xml:space="preserve">17:00_x000d_
TKP</v>
      </c>
      <c r="C290" s="2" t="str">
        <v>ГЕРМАНИЯ ГЕРМАНИЯ</v>
      </c>
      <c r="D290" s="2" t="str">
        <v>Цайльсхайм-Штейнбах</v>
      </c>
      <c r="E290" s="3">
        <f>-</f>
      </c>
      <c r="F290" s="3">
        <f>-</f>
      </c>
      <c r="G290" s="3">
        <f>-</f>
      </c>
      <c r="H290" s="3">
        <f>=ROUND((1000/((1000/E290) + (1000/f290))),2)</f>
      </c>
      <c r="I290" s="3">
        <f>=ROUND((1000/((1000/E290) + (1000/G290))),2)</f>
      </c>
      <c r="J290" s="3">
        <f>=ROUND((1000/((1000/F290) + (1000/G290))),2)</f>
      </c>
    </row>
    <row r="291" xml:space="preserve">
      <c r="A291" s="2" t="str">
        <v>01/05 ВС</v>
      </c>
      <c r="B291" s="2" t="str" xml:space="preserve">
        <v xml:space="preserve">16:30_x000d_
TKP</v>
      </c>
      <c r="C291" s="2" t="str">
        <v>ГЕРМАНИЯ ГЕРМАНИЯ</v>
      </c>
      <c r="D291" s="2" t="str">
        <v>Вальдальгесхайм-Мехтерсхайм</v>
      </c>
      <c r="E291" s="3">
        <f>-</f>
      </c>
      <c r="F291" s="3">
        <f>-</f>
      </c>
      <c r="G291" s="3">
        <f>-</f>
      </c>
      <c r="H291" s="3">
        <f>=ROUND((1000/((1000/E291) + (1000/f291))),2)</f>
      </c>
      <c r="I291" s="3">
        <f>=ROUND((1000/((1000/E291) + (1000/G291))),2)</f>
      </c>
      <c r="J291" s="3">
        <f>=ROUND((1000/((1000/F291) + (1000/G291))),2)</f>
      </c>
    </row>
    <row r="292" xml:space="preserve">
      <c r="A292" s="2" t="str">
        <v>01/05 ВС</v>
      </c>
      <c r="B292" s="2" t="str" xml:space="preserve">
        <v xml:space="preserve">17:00_x000d_
TKP</v>
      </c>
      <c r="C292" s="2" t="str">
        <v>ГЕРМАНИЯ ГЕРМАНИЯ</v>
      </c>
      <c r="D292" s="2" t="str">
        <v>Гархинг-Пуллах</v>
      </c>
      <c r="E292" s="3">
        <f>-</f>
      </c>
      <c r="F292" s="3">
        <f>-</f>
      </c>
      <c r="G292" s="3">
        <f>-</f>
      </c>
      <c r="H292" s="3">
        <f>=ROUND((1000/((1000/E292) + (1000/f292))),2)</f>
      </c>
      <c r="I292" s="3">
        <f>=ROUND((1000/((1000/E292) + (1000/G292))),2)</f>
      </c>
      <c r="J292" s="3">
        <f>=ROUND((1000/((1000/F292) + (1000/G292))),2)</f>
      </c>
    </row>
    <row r="293" xml:space="preserve">
      <c r="A293" s="2" t="str">
        <v>01/05 ВС</v>
      </c>
      <c r="B293" s="2" t="str" xml:space="preserve">
        <v xml:space="preserve">17:00_x000d_
TKP</v>
      </c>
      <c r="C293" s="2" t="str">
        <v>ГЕРМАНИЯ ГЕРМАНИЯ</v>
      </c>
      <c r="D293" s="2" t="str">
        <v>Альфтер-Фрехен</v>
      </c>
      <c r="E293" s="3">
        <f>-</f>
      </c>
      <c r="F293" s="3">
        <f>-</f>
      </c>
      <c r="G293" s="3">
        <f>-</f>
      </c>
      <c r="H293" s="3">
        <f>=ROUND((1000/((1000/E293) + (1000/f293))),2)</f>
      </c>
      <c r="I293" s="3">
        <f>=ROUND((1000/((1000/E293) + (1000/G293))),2)</f>
      </c>
      <c r="J293" s="3">
        <f>=ROUND((1000/((1000/F293) + (1000/G293))),2)</f>
      </c>
    </row>
    <row r="294" xml:space="preserve">
      <c r="A294" s="2" t="str">
        <v>01/05 ВС</v>
      </c>
      <c r="B294" s="2" t="str" xml:space="preserve">
        <v xml:space="preserve">17:00_x000d_
TKP</v>
      </c>
      <c r="C294" s="2" t="str">
        <v>ГЕРМАНИЯ ГЕРМАНИЯ</v>
      </c>
      <c r="D294" s="2" t="str">
        <v>Брайниг-Бергиш Гладбах</v>
      </c>
      <c r="E294" s="3">
        <f>-</f>
      </c>
      <c r="F294" s="3">
        <f>-</f>
      </c>
      <c r="G294" s="3">
        <f>-</f>
      </c>
      <c r="H294" s="3">
        <f>=ROUND((1000/((1000/E294) + (1000/f294))),2)</f>
      </c>
      <c r="I294" s="3">
        <f>=ROUND((1000/((1000/E294) + (1000/G294))),2)</f>
      </c>
      <c r="J294" s="3">
        <f>=ROUND((1000/((1000/F294) + (1000/G294))),2)</f>
      </c>
    </row>
    <row r="295" xml:space="preserve">
      <c r="A295" s="2" t="str">
        <v>01/05 ВС</v>
      </c>
      <c r="B295" s="2" t="str" xml:space="preserve">
        <v xml:space="preserve">17:00_x000d_
TKP</v>
      </c>
      <c r="C295" s="2" t="str">
        <v>ГЕРМАНИЯ ГЕРМАНИЯ</v>
      </c>
      <c r="D295" s="2" t="str">
        <v>Весселинг-Урфельд-Айлендорф</v>
      </c>
      <c r="E295" s="3">
        <f>-</f>
      </c>
      <c r="F295" s="3">
        <f>-</f>
      </c>
      <c r="G295" s="3">
        <f>-</f>
      </c>
      <c r="H295" s="3">
        <f>=ROUND((1000/((1000/E295) + (1000/f295))),2)</f>
      </c>
      <c r="I295" s="3">
        <f>=ROUND((1000/((1000/E295) + (1000/G295))),2)</f>
      </c>
      <c r="J295" s="3">
        <f>=ROUND((1000/((1000/F295) + (1000/G295))),2)</f>
      </c>
    </row>
    <row r="296" xml:space="preserve">
      <c r="A296" s="2" t="str">
        <v>01/05 ВС</v>
      </c>
      <c r="B296" s="2" t="str" xml:space="preserve">
        <v xml:space="preserve">17:00_x000d_
TKP</v>
      </c>
      <c r="C296" s="2" t="str">
        <v>ГЕРМАНИЯ ГЕРМАНИЯ</v>
      </c>
      <c r="D296" s="2" t="str">
        <v>Глеш/Паффендорф-Фрисдорф</v>
      </c>
      <c r="E296" s="3">
        <f>-</f>
      </c>
      <c r="F296" s="3">
        <f>-</f>
      </c>
      <c r="G296" s="3">
        <f>-</f>
      </c>
      <c r="H296" s="3">
        <f>=ROUND((1000/((1000/E296) + (1000/f296))),2)</f>
      </c>
      <c r="I296" s="3">
        <f>=ROUND((1000/((1000/E296) + (1000/G296))),2)</f>
      </c>
      <c r="J296" s="3">
        <f>=ROUND((1000/((1000/F296) + (1000/G296))),2)</f>
      </c>
    </row>
    <row r="297" xml:space="preserve">
      <c r="A297" s="2" t="str">
        <v>01/05 ВС</v>
      </c>
      <c r="B297" s="2" t="str" xml:space="preserve">
        <v xml:space="preserve">17:00_x000d_
TKP</v>
      </c>
      <c r="C297" s="2" t="str">
        <v>ГЕРМАНИЯ ГЕРМАНИЯ</v>
      </c>
      <c r="D297" s="2" t="str">
        <v>Дюрен-Хеннеф</v>
      </c>
      <c r="E297" s="3">
        <f>-</f>
      </c>
      <c r="F297" s="3">
        <f>-</f>
      </c>
      <c r="G297" s="3">
        <f>-</f>
      </c>
      <c r="H297" s="3">
        <f>=ROUND((1000/((1000/E297) + (1000/f297))),2)</f>
      </c>
      <c r="I297" s="3">
        <f>=ROUND((1000/((1000/E297) + (1000/G297))),2)</f>
      </c>
      <c r="J297" s="3">
        <f>=ROUND((1000/((1000/F297) + (1000/G297))),2)</f>
      </c>
    </row>
    <row r="298" xml:space="preserve">
      <c r="A298" s="2" t="str">
        <v>01/05 ВС</v>
      </c>
      <c r="B298" s="2" t="str" xml:space="preserve">
        <v xml:space="preserve">17:30_x000d_
TKP</v>
      </c>
      <c r="C298" s="2" t="str">
        <v>ГЕРМАНИЯ ГЕРМАНИЯ</v>
      </c>
      <c r="D298" s="2" t="str">
        <v>Дойц-Хюрт</v>
      </c>
      <c r="E298" s="3">
        <f>-</f>
      </c>
      <c r="F298" s="3">
        <f>-</f>
      </c>
      <c r="G298" s="3">
        <f>-</f>
      </c>
      <c r="H298" s="3">
        <f>=ROUND((1000/((1000/E298) + (1000/f298))),2)</f>
      </c>
      <c r="I298" s="3">
        <f>=ROUND((1000/((1000/E298) + (1000/G298))),2)</f>
      </c>
      <c r="J298" s="3">
        <f>=ROUND((1000/((1000/F298) + (1000/G298))),2)</f>
      </c>
    </row>
    <row r="299" xml:space="preserve">
      <c r="A299" s="2" t="str">
        <v>01/05 ВС</v>
      </c>
      <c r="B299" s="2" t="str" xml:space="preserve">
        <v xml:space="preserve">17:30_x000d_
TKP</v>
      </c>
      <c r="C299" s="2" t="str">
        <v>ГЕРМАНИЯ ГЕРМАНИЯ</v>
      </c>
      <c r="D299" s="2" t="str">
        <v>Зигбургер-Виктория 08</v>
      </c>
      <c r="E299" s="3">
        <f>-</f>
      </c>
      <c r="F299" s="3">
        <f>-</f>
      </c>
      <c r="G299" s="3">
        <f>-</f>
      </c>
      <c r="H299" s="3">
        <f>=ROUND((1000/((1000/E299) + (1000/f299))),2)</f>
      </c>
      <c r="I299" s="3">
        <f>=ROUND((1000/((1000/E299) + (1000/G299))),2)</f>
      </c>
      <c r="J299" s="3">
        <f>=ROUND((1000/((1000/F299) + (1000/G299))),2)</f>
      </c>
    </row>
    <row r="300" xml:space="preserve">
      <c r="A300" s="2" t="str">
        <v>01/05 ВС</v>
      </c>
      <c r="B300" s="2" t="str" xml:space="preserve">
        <v xml:space="preserve">17:30_x000d_
TKP</v>
      </c>
      <c r="C300" s="2" t="str">
        <v>ГЕРМАНИЯ ГЕРМАНИЯ</v>
      </c>
      <c r="D300" s="2" t="str">
        <v>Пеш-Фрайальденхофен</v>
      </c>
      <c r="E300" s="3">
        <f>-</f>
      </c>
      <c r="F300" s="3">
        <f>-</f>
      </c>
      <c r="G300" s="3">
        <f>-</f>
      </c>
      <c r="H300" s="3">
        <f>=ROUND((1000/((1000/E300) + (1000/f300))),2)</f>
      </c>
      <c r="I300" s="3">
        <f>=ROUND((1000/((1000/E300) + (1000/G300))),2)</f>
      </c>
      <c r="J300" s="3">
        <f>=ROUND((1000/((1000/F300) + (1000/G300))),2)</f>
      </c>
    </row>
    <row r="301" xml:space="preserve">
      <c r="A301" s="2" t="str">
        <v>01/05 ВС</v>
      </c>
      <c r="B301" s="2" t="str" xml:space="preserve">
        <v xml:space="preserve">17:30_x000d_
TKP</v>
      </c>
      <c r="C301" s="2" t="str">
        <v>ГЕРМАНИЯ ГЕРМАНИЯ</v>
      </c>
      <c r="D301" s="2" t="str">
        <v>Фортуна Кёльн II-Вихтталь</v>
      </c>
      <c r="E301" s="3">
        <f>-</f>
      </c>
      <c r="F301" s="3">
        <f>-</f>
      </c>
      <c r="G301" s="3">
        <f>-</f>
      </c>
      <c r="H301" s="3">
        <f>=ROUND((1000/((1000/E301) + (1000/f301))),2)</f>
      </c>
      <c r="I301" s="3">
        <f>=ROUND((1000/((1000/E301) + (1000/G301))),2)</f>
      </c>
      <c r="J301" s="3">
        <f>=ROUND((1000/((1000/F301) + (1000/G301))),2)</f>
      </c>
    </row>
    <row r="302" xml:space="preserve">
      <c r="A302" s="2" t="str">
        <v>01/05 ВС</v>
      </c>
      <c r="B302" s="2" t="str" xml:space="preserve">
        <v xml:space="preserve">13:00_x000d_
TKP</v>
      </c>
      <c r="C302" s="2" t="str">
        <v>ГЕРМАНИЯ ГЕРМАНИЯ</v>
      </c>
      <c r="D302" s="2" t="str">
        <v>Бавария II (Ж)-Меппен (Ж)</v>
      </c>
      <c r="E302" s="3">
        <f>-</f>
      </c>
      <c r="F302" s="3">
        <f>-</f>
      </c>
      <c r="G302" s="3">
        <f>-</f>
      </c>
      <c r="H302" s="3">
        <f>=ROUND((1000/((1000/E302) + (1000/f302))),2)</f>
      </c>
      <c r="I302" s="3">
        <f>=ROUND((1000/((1000/E302) + (1000/G302))),2)</f>
      </c>
      <c r="J302" s="3">
        <f>=ROUND((1000/((1000/F302) + (1000/G302))),2)</f>
      </c>
    </row>
    <row r="303" xml:space="preserve">
      <c r="A303" s="2" t="str">
        <v>01/05 ВС</v>
      </c>
      <c r="B303" s="2" t="str" xml:space="preserve">
        <v xml:space="preserve">13:00_x000d_
TKP</v>
      </c>
      <c r="C303" s="2" t="str">
        <v>ГЕРМАНИЯ ГЕРМАНИЯ</v>
      </c>
      <c r="D303" s="2" t="str">
        <v>Вольфсбург II (Ж)-Боруссия Бохольт (Ж)</v>
      </c>
      <c r="E303" s="3">
        <f>-</f>
      </c>
      <c r="F303" s="3">
        <f>-</f>
      </c>
      <c r="G303" s="3">
        <f>-</f>
      </c>
      <c r="H303" s="3">
        <f>=ROUND((1000/((1000/E303) + (1000/f303))),2)</f>
      </c>
      <c r="I303" s="3">
        <f>=ROUND((1000/((1000/E303) + (1000/G303))),2)</f>
      </c>
      <c r="J303" s="3">
        <f>=ROUND((1000/((1000/F303) + (1000/G303))),2)</f>
      </c>
    </row>
    <row r="304" xml:space="preserve">
      <c r="A304" s="2" t="str">
        <v>01/05 ВС</v>
      </c>
      <c r="B304" s="2" t="str" xml:space="preserve">
        <v xml:space="preserve">13:00_x000d_
TKP</v>
      </c>
      <c r="C304" s="2" t="str">
        <v>ГЕРМАНИЯ ГЕРМАНИЯ</v>
      </c>
      <c r="D304" s="2" t="str">
        <v>Генштедт-Ульцбург (Ж)-Нюрнберг (Ж)</v>
      </c>
      <c r="E304" s="3">
        <f>-</f>
      </c>
      <c r="F304" s="3">
        <f>-</f>
      </c>
      <c r="G304" s="3">
        <f>-</f>
      </c>
      <c r="H304" s="3">
        <f>=ROUND((1000/((1000/E304) + (1000/f304))),2)</f>
      </c>
      <c r="I304" s="3">
        <f>=ROUND((1000/((1000/E304) + (1000/G304))),2)</f>
      </c>
      <c r="J304" s="3">
        <f>=ROUND((1000/((1000/F304) + (1000/G304))),2)</f>
      </c>
    </row>
    <row r="305" xml:space="preserve">
      <c r="A305" s="2" t="str">
        <v>01/05 ВС</v>
      </c>
      <c r="B305" s="2" t="str" xml:space="preserve">
        <v xml:space="preserve">13:00_x000d_
TKP</v>
      </c>
      <c r="C305" s="2" t="str">
        <v>ГЕРМАНИЯ ГЕРМАНИЯ</v>
      </c>
      <c r="D305" s="2" t="str">
        <v>Дуйсбург (Ж)-Эльфсберг (Ж)</v>
      </c>
      <c r="E305" s="3">
        <f>-</f>
      </c>
      <c r="F305" s="3">
        <f>-</f>
      </c>
      <c r="G305" s="3">
        <f>-</f>
      </c>
      <c r="H305" s="3">
        <f>=ROUND((1000/((1000/E305) + (1000/f305))),2)</f>
      </c>
      <c r="I305" s="3">
        <f>=ROUND((1000/((1000/E305) + (1000/G305))),2)</f>
      </c>
      <c r="J305" s="3">
        <f>=ROUND((1000/((1000/F305) + (1000/G305))),2)</f>
      </c>
    </row>
    <row r="306" xml:space="preserve">
      <c r="A306" s="2" t="str">
        <v>01/05 ВС</v>
      </c>
      <c r="B306" s="2" t="str" xml:space="preserve">
        <v xml:space="preserve">13:00_x000d_
TKP</v>
      </c>
      <c r="C306" s="2" t="str">
        <v>ГЕРМАНИЯ ГЕРМАНИЯ</v>
      </c>
      <c r="D306" s="2" t="str">
        <v>РБ Лейпциг (Ж)-Ингольштадт (Ж)</v>
      </c>
      <c r="E306" s="3">
        <f>-</f>
      </c>
      <c r="F306" s="3">
        <f>-</f>
      </c>
      <c r="G306" s="3">
        <f>-</f>
      </c>
      <c r="H306" s="3">
        <f>=ROUND((1000/((1000/E306) + (1000/f306))),2)</f>
      </c>
      <c r="I306" s="3">
        <f>=ROUND((1000/((1000/E306) + (1000/G306))),2)</f>
      </c>
      <c r="J306" s="3">
        <f>=ROUND((1000/((1000/F306) + (1000/G306))),2)</f>
      </c>
    </row>
    <row r="307" xml:space="preserve">
      <c r="A307" s="2" t="str">
        <v>01/05 ВС</v>
      </c>
      <c r="B307" s="2" t="str" xml:space="preserve">
        <v xml:space="preserve">16:00_x000d_
TKP</v>
      </c>
      <c r="C307" s="2" t="str">
        <v>ГЕРМАНИЯ ГЕРМАНИЯ</v>
      </c>
      <c r="D307" s="2" t="str">
        <v>Айнтрахт Ф II (Ж)-Гутерслох (Ж)</v>
      </c>
      <c r="E307" s="3">
        <f>-</f>
      </c>
      <c r="F307" s="3">
        <f>-</f>
      </c>
      <c r="G307" s="3">
        <f>-</f>
      </c>
      <c r="H307" s="3">
        <f>=ROUND((1000/((1000/E307) + (1000/f307))),2)</f>
      </c>
      <c r="I307" s="3">
        <f>=ROUND((1000/((1000/E307) + (1000/G307))),2)</f>
      </c>
      <c r="J307" s="3">
        <f>=ROUND((1000/((1000/F307) + (1000/G307))),2)</f>
      </c>
    </row>
    <row r="308" xml:space="preserve">
      <c r="A308" s="2" t="str">
        <v>01/05 ВС</v>
      </c>
      <c r="B308" s="2" t="str" xml:space="preserve">
        <v xml:space="preserve">16:00_x000d_
TKP</v>
      </c>
      <c r="C308" s="2" t="str">
        <v>ГЕРМАНИЯ ГЕРМАНИЯ</v>
      </c>
      <c r="D308" s="2" t="str">
        <v>Хоффенхайм II (Ж)-Андернах (Ж)</v>
      </c>
      <c r="E308" s="3">
        <f>-</f>
      </c>
      <c r="F308" s="3">
        <f>-</f>
      </c>
      <c r="G308" s="3">
        <f>-</f>
      </c>
      <c r="H308" s="3">
        <f>=ROUND((1000/((1000/E308) + (1000/f308))),2)</f>
      </c>
      <c r="I308" s="3">
        <f>=ROUND((1000/((1000/E308) + (1000/G308))),2)</f>
      </c>
      <c r="J308" s="3">
        <f>=ROUND((1000/((1000/F308) + (1000/G308))),2)</f>
      </c>
    </row>
    <row r="309">
      <c r="A309" s="2" t="str">
        <v>01/05 ВС</v>
      </c>
      <c r="B309" s="2" t="str">
        <v>05:00</v>
      </c>
      <c r="C309" s="2" t="str">
        <v>ГОНДУРАС ГОНДУРАС</v>
      </c>
      <c r="D309" s="2" t="str">
        <v>Виктория-Олимпия</v>
      </c>
      <c r="E309" s="3">
        <f>-</f>
      </c>
      <c r="F309" s="3">
        <f>-</f>
      </c>
      <c r="G309" s="3">
        <f>-</f>
      </c>
      <c r="H309" s="3">
        <f>=ROUND((1000/((1000/E309) + (1000/f309))),2)</f>
      </c>
      <c r="I309" s="3">
        <f>=ROUND((1000/((1000/E309) + (1000/G309))),2)</f>
      </c>
      <c r="J309" s="3">
        <f>=ROUND((1000/((1000/F309) + (1000/G309))),2)</f>
      </c>
    </row>
    <row r="310">
      <c r="A310" s="2" t="str">
        <v>01/05 ВС</v>
      </c>
      <c r="B310" s="2" t="str">
        <v>05:00</v>
      </c>
      <c r="C310" s="2" t="str">
        <v>ГОНДУРАС ГОНДУРАС</v>
      </c>
      <c r="D310" s="2" t="str">
        <v>Гондурас Прогресо-Платенсе</v>
      </c>
      <c r="E310" s="3">
        <f>-</f>
      </c>
      <c r="F310" s="3">
        <f>-</f>
      </c>
      <c r="G310" s="3">
        <f>-</f>
      </c>
      <c r="H310" s="3">
        <f>=ROUND((1000/((1000/E310) + (1000/f310))),2)</f>
      </c>
      <c r="I310" s="3">
        <f>=ROUND((1000/((1000/E310) + (1000/G310))),2)</f>
      </c>
      <c r="J310" s="3">
        <f>=ROUND((1000/((1000/F310) + (1000/G310))),2)</f>
      </c>
    </row>
    <row r="311">
      <c r="A311" s="2" t="str">
        <v>01/05 ВС</v>
      </c>
      <c r="B311" s="2" t="str">
        <v>05:00</v>
      </c>
      <c r="C311" s="2" t="str">
        <v>ГОНДУРАС ГОНДУРАС</v>
      </c>
      <c r="D311" s="2" t="str">
        <v>Мотагуа-Реал Сосьедад</v>
      </c>
      <c r="E311" s="3">
        <f>-</f>
      </c>
      <c r="F311" s="3">
        <f>-</f>
      </c>
      <c r="G311" s="3">
        <f>-</f>
      </c>
      <c r="H311" s="3">
        <f>=ROUND((1000/((1000/E311) + (1000/f311))),2)</f>
      </c>
      <c r="I311" s="3">
        <f>=ROUND((1000/((1000/E311) + (1000/G311))),2)</f>
      </c>
      <c r="J311" s="3">
        <f>=ROUND((1000/((1000/F311) + (1000/G311))),2)</f>
      </c>
    </row>
    <row r="312">
      <c r="A312" s="2" t="str">
        <v>01/05 ВС</v>
      </c>
      <c r="B312" s="2" t="str">
        <v>05:00</v>
      </c>
      <c r="C312" s="2" t="str">
        <v>ГОНДУРАС ГОНДУРАС</v>
      </c>
      <c r="D312" s="2" t="str">
        <v>Реал Эспанья-Вида</v>
      </c>
      <c r="E312" s="3">
        <f>-</f>
      </c>
      <c r="F312" s="3">
        <f>-</f>
      </c>
      <c r="G312" s="3">
        <f>-</f>
      </c>
      <c r="H312" s="3">
        <f>=ROUND((1000/((1000/E312) + (1000/f312))),2)</f>
      </c>
      <c r="I312" s="3">
        <f>=ROUND((1000/((1000/E312) + (1000/G312))),2)</f>
      </c>
      <c r="J312" s="3">
        <f>=ROUND((1000/((1000/F312) + (1000/G312))),2)</f>
      </c>
    </row>
    <row r="313">
      <c r="A313" s="2" t="str">
        <v>01/05 ВС</v>
      </c>
      <c r="B313" s="2" t="str">
        <v>05:00</v>
      </c>
      <c r="C313" s="2" t="str">
        <v>ГОНДУРАС ГОНДУРАС</v>
      </c>
      <c r="D313" s="2" t="str">
        <v>УПНФМ-Марафон</v>
      </c>
      <c r="E313" s="3">
        <f>-</f>
      </c>
      <c r="F313" s="3">
        <f>-</f>
      </c>
      <c r="G313" s="3">
        <f>-</f>
      </c>
      <c r="H313" s="3">
        <f>=ROUND((1000/((1000/E313) + (1000/f313))),2)</f>
      </c>
      <c r="I313" s="3">
        <f>=ROUND((1000/((1000/E313) + (1000/G313))),2)</f>
      </c>
      <c r="J313" s="3">
        <f>=ROUND((1000/((1000/F313) + (1000/G313))),2)</f>
      </c>
    </row>
    <row r="314">
      <c r="A314" s="2" t="str">
        <v>01/05 ВС</v>
      </c>
      <c r="B314" s="2" t="str">
        <v>18:00</v>
      </c>
      <c r="C314" s="2" t="str">
        <v>ГРЕЦИЯ ГРЕЦИЯ</v>
      </c>
      <c r="D314" s="2" t="str">
        <v>Олимпиакос-ПАС Янина</v>
      </c>
      <c r="E314" s="3">
        <f>1.33</f>
      </c>
      <c r="F314" s="3">
        <f>5.00</f>
      </c>
      <c r="G314" s="3">
        <f>10.00</f>
      </c>
      <c r="H314" s="3">
        <f>=ROUND((1000/((1000/E314) + (1000/f314))),2)</f>
      </c>
      <c r="I314" s="3">
        <f>=ROUND((1000/((1000/E314) + (1000/G314))),2)</f>
      </c>
      <c r="J314" s="3">
        <f>=ROUND((1000/((1000/F314) + (1000/G314))),2)</f>
      </c>
    </row>
    <row r="315">
      <c r="A315" s="2" t="str">
        <v>01/05 ВС</v>
      </c>
      <c r="B315" s="2" t="str">
        <v>20:00</v>
      </c>
      <c r="C315" s="2" t="str">
        <v>ГРЕЦИЯ ГРЕЦИЯ</v>
      </c>
      <c r="D315" s="2" t="str">
        <v>Панатинаикос-Арис</v>
      </c>
      <c r="E315" s="3">
        <f>2.05</f>
      </c>
      <c r="F315" s="3">
        <f>2.90</f>
      </c>
      <c r="G315" s="3">
        <f>4.33</f>
      </c>
      <c r="H315" s="3">
        <f>=ROUND((1000/((1000/E315) + (1000/f315))),2)</f>
      </c>
      <c r="I315" s="3">
        <f>=ROUND((1000/((1000/E315) + (1000/G315))),2)</f>
      </c>
      <c r="J315" s="3">
        <f>=ROUND((1000/((1000/F315) + (1000/G315))),2)</f>
      </c>
    </row>
    <row r="316">
      <c r="A316" s="2" t="str">
        <v>01/05 ВС</v>
      </c>
      <c r="B316" s="2" t="str">
        <v>22:00</v>
      </c>
      <c r="C316" s="2" t="str">
        <v>ГРЕЦИЯ ГРЕЦИЯ</v>
      </c>
      <c r="D316" s="2" t="str">
        <v>ПАОК-АЕК</v>
      </c>
      <c r="E316" s="3">
        <f>2.25</f>
      </c>
      <c r="F316" s="3">
        <f>3.10</f>
      </c>
      <c r="G316" s="3">
        <f>3.50</f>
      </c>
      <c r="H316" s="3">
        <f>=ROUND((1000/((1000/E316) + (1000/f316))),2)</f>
      </c>
      <c r="I316" s="3">
        <f>=ROUND((1000/((1000/E316) + (1000/G316))),2)</f>
      </c>
      <c r="J316" s="3">
        <f>=ROUND((1000/((1000/F316) + (1000/G316))),2)</f>
      </c>
    </row>
    <row r="317">
      <c r="A317" s="2" t="str">
        <v>01/05 ВС</v>
      </c>
      <c r="B317" s="2" t="str">
        <v>15:45</v>
      </c>
      <c r="C317" s="2" t="str">
        <v>ГРЕЦИЯ ГРЕЦИЯ</v>
      </c>
      <c r="D317" s="2" t="str">
        <v>Аполлон Ларисса-ПАОК (Б)</v>
      </c>
      <c r="E317" s="3">
        <f>-</f>
      </c>
      <c r="F317" s="3">
        <f>-</f>
      </c>
      <c r="G317" s="3">
        <f>-</f>
      </c>
      <c r="H317" s="3">
        <f>=ROUND((1000/((1000/E317) + (1000/f317))),2)</f>
      </c>
      <c r="I317" s="3">
        <f>=ROUND((1000/((1000/E317) + (1000/G317))),2)</f>
      </c>
      <c r="J317" s="3">
        <f>=ROUND((1000/((1000/F317) + (1000/G317))),2)</f>
      </c>
    </row>
    <row r="318">
      <c r="A318" s="2" t="str">
        <v>01/05 ВС</v>
      </c>
      <c r="B318" s="2" t="str">
        <v>15:45</v>
      </c>
      <c r="C318" s="2" t="str">
        <v>ГРЕЦИЯ ГРЕЦИЯ</v>
      </c>
      <c r="D318" s="2" t="str">
        <v>Аполлон Понту-Теспротос</v>
      </c>
      <c r="E318" s="3">
        <f>-</f>
      </c>
      <c r="F318" s="3">
        <f>-</f>
      </c>
      <c r="G318" s="3">
        <f>-</f>
      </c>
      <c r="H318" s="3">
        <f>=ROUND((1000/((1000/E318) + (1000/f318))),2)</f>
      </c>
      <c r="I318" s="3">
        <f>=ROUND((1000/((1000/E318) + (1000/G318))),2)</f>
      </c>
      <c r="J318" s="3">
        <f>=ROUND((1000/((1000/F318) + (1000/G318))),2)</f>
      </c>
    </row>
    <row r="319">
      <c r="A319" s="2" t="str">
        <v>01/05 ВС</v>
      </c>
      <c r="B319" s="2" t="str">
        <v>15:45</v>
      </c>
      <c r="C319" s="2" t="str">
        <v>ГРЕЦИЯ ГРЕЦИЯ</v>
      </c>
      <c r="D319" s="2" t="str">
        <v>Вероя-Кавала</v>
      </c>
      <c r="E319" s="3">
        <f>-</f>
      </c>
      <c r="F319" s="3">
        <f>-</f>
      </c>
      <c r="G319" s="3">
        <f>-</f>
      </c>
      <c r="H319" s="3">
        <f>=ROUND((1000/((1000/E319) + (1000/f319))),2)</f>
      </c>
      <c r="I319" s="3">
        <f>=ROUND((1000/((1000/E319) + (1000/G319))),2)</f>
      </c>
      <c r="J319" s="3">
        <f>=ROUND((1000/((1000/F319) + (1000/G319))),2)</f>
      </c>
    </row>
    <row r="320">
      <c r="A320" s="2" t="str">
        <v>01/05 ВС</v>
      </c>
      <c r="B320" s="2" t="str">
        <v>15:45</v>
      </c>
      <c r="C320" s="2" t="str">
        <v>ГРЕЦИЯ ГРЕЦИЯ</v>
      </c>
      <c r="D320" s="2" t="str">
        <v>Епископи-Панатинаикос (Б)</v>
      </c>
      <c r="E320" s="3">
        <f>-</f>
      </c>
      <c r="F320" s="3">
        <f>-</f>
      </c>
      <c r="G320" s="3">
        <f>-</f>
      </c>
      <c r="H320" s="3">
        <f>=ROUND((1000/((1000/E320) + (1000/f320))),2)</f>
      </c>
      <c r="I320" s="3">
        <f>=ROUND((1000/((1000/E320) + (1000/G320))),2)</f>
      </c>
      <c r="J320" s="3">
        <f>=ROUND((1000/((1000/F320) + (1000/G320))),2)</f>
      </c>
    </row>
    <row r="321">
      <c r="A321" s="2" t="str">
        <v>01/05 ВС</v>
      </c>
      <c r="B321" s="2" t="str">
        <v>15:45</v>
      </c>
      <c r="C321" s="2" t="str">
        <v>ГРЕЦИЯ ГРЕЦИЯ</v>
      </c>
      <c r="D321" s="2" t="str">
        <v>Иерапетра-Закинтос</v>
      </c>
      <c r="E321" s="3">
        <f>-</f>
      </c>
      <c r="F321" s="3">
        <f>-</f>
      </c>
      <c r="G321" s="3">
        <f>-</f>
      </c>
      <c r="H321" s="3">
        <f>=ROUND((1000/((1000/E321) + (1000/f321))),2)</f>
      </c>
      <c r="I321" s="3">
        <f>=ROUND((1000/((1000/E321) + (1000/G321))),2)</f>
      </c>
      <c r="J321" s="3">
        <f>=ROUND((1000/((1000/F321) + (1000/G321))),2)</f>
      </c>
    </row>
    <row r="322">
      <c r="A322" s="2" t="str">
        <v>01/05 ВС</v>
      </c>
      <c r="B322" s="2" t="str">
        <v>15:45</v>
      </c>
      <c r="C322" s="2" t="str">
        <v>ГРЕЦИЯ ГРЕЦИЯ</v>
      </c>
      <c r="D322" s="2" t="str">
        <v>Ираклис-Алмопос</v>
      </c>
      <c r="E322" s="3">
        <f>-</f>
      </c>
      <c r="F322" s="3">
        <f>-</f>
      </c>
      <c r="G322" s="3">
        <f>-</f>
      </c>
      <c r="H322" s="3">
        <f>=ROUND((1000/((1000/E322) + (1000/f322))),2)</f>
      </c>
      <c r="I322" s="3">
        <f>=ROUND((1000/((1000/E322) + (1000/G322))),2)</f>
      </c>
      <c r="J322" s="3">
        <f>=ROUND((1000/((1000/F322) + (1000/G322))),2)</f>
      </c>
    </row>
    <row r="323">
      <c r="A323" s="2" t="str">
        <v>01/05 ВС</v>
      </c>
      <c r="B323" s="2" t="str">
        <v>15:45</v>
      </c>
      <c r="C323" s="2" t="str">
        <v>ГРЕЦИЯ ГРЕЦИЯ</v>
      </c>
      <c r="D323" s="2" t="str">
        <v>Иродотос-Астерас Влахиоти</v>
      </c>
      <c r="E323" s="3">
        <f>-</f>
      </c>
      <c r="F323" s="3">
        <f>-</f>
      </c>
      <c r="G323" s="3">
        <f>-</f>
      </c>
      <c r="H323" s="3">
        <f>=ROUND((1000/((1000/E323) + (1000/f323))),2)</f>
      </c>
      <c r="I323" s="3">
        <f>=ROUND((1000/((1000/E323) + (1000/G323))),2)</f>
      </c>
      <c r="J323" s="3">
        <f>=ROUND((1000/((1000/F323) + (1000/G323))),2)</f>
      </c>
    </row>
    <row r="324">
      <c r="A324" s="2" t="str">
        <v>01/05 ВС</v>
      </c>
      <c r="B324" s="2" t="str">
        <v>15:45</v>
      </c>
      <c r="C324" s="2" t="str">
        <v>ГРЕЦИЯ ГРЕЦИЯ</v>
      </c>
      <c r="D324" s="2" t="str">
        <v>Калитея-Ханья</v>
      </c>
      <c r="E324" s="3">
        <f>-</f>
      </c>
      <c r="F324" s="3">
        <f>-</f>
      </c>
      <c r="G324" s="3">
        <f>-</f>
      </c>
      <c r="H324" s="3">
        <f>=ROUND((1000/((1000/E324) + (1000/f324))),2)</f>
      </c>
      <c r="I324" s="3">
        <f>=ROUND((1000/((1000/E324) + (1000/G324))),2)</f>
      </c>
      <c r="J324" s="3">
        <f>=ROUND((1000/((1000/F324) + (1000/G324))),2)</f>
      </c>
    </row>
    <row r="325">
      <c r="A325" s="2" t="str">
        <v>01/05 ВС</v>
      </c>
      <c r="B325" s="2" t="str">
        <v>15:45</v>
      </c>
      <c r="C325" s="2" t="str">
        <v>ГРЕЦИЯ ГРЕЦИЯ</v>
      </c>
      <c r="D325" s="2" t="str">
        <v>Кардица-Ксанти</v>
      </c>
      <c r="E325" s="3">
        <f>-</f>
      </c>
      <c r="F325" s="3">
        <f>-</f>
      </c>
      <c r="G325" s="3">
        <f>-</f>
      </c>
      <c r="H325" s="3">
        <f>=ROUND((1000/((1000/E325) + (1000/f325))),2)</f>
      </c>
      <c r="I325" s="3">
        <f>=ROUND((1000/((1000/E325) + (1000/G325))),2)</f>
      </c>
      <c r="J325" s="3">
        <f>=ROUND((1000/((1000/F325) + (1000/G325))),2)</f>
      </c>
    </row>
    <row r="326">
      <c r="A326" s="2" t="str">
        <v>01/05 ВС</v>
      </c>
      <c r="B326" s="2" t="str">
        <v>15:45</v>
      </c>
      <c r="C326" s="2" t="str">
        <v>ГРЕЦИЯ ГРЕЦИЯ</v>
      </c>
      <c r="D326" s="2" t="str">
        <v>Кифисиас-Каламата</v>
      </c>
      <c r="E326" s="3">
        <f>-</f>
      </c>
      <c r="F326" s="3">
        <f>-</f>
      </c>
      <c r="G326" s="3">
        <f>-</f>
      </c>
      <c r="H326" s="3">
        <f>=ROUND((1000/((1000/E326) + (1000/f326))),2)</f>
      </c>
      <c r="I326" s="3">
        <f>=ROUND((1000/((1000/E326) + (1000/G326))),2)</f>
      </c>
      <c r="J326" s="3">
        <f>=ROUND((1000/((1000/F326) + (1000/G326))),2)</f>
      </c>
    </row>
    <row r="327">
      <c r="A327" s="2" t="str">
        <v>01/05 ВС</v>
      </c>
      <c r="B327" s="2" t="str">
        <v>15:45</v>
      </c>
      <c r="C327" s="2" t="str">
        <v>ГРЕЦИЯ ГРЕЦИЯ</v>
      </c>
      <c r="D327" s="2" t="str">
        <v>Лариса-Трикала</v>
      </c>
      <c r="E327" s="3">
        <f>-</f>
      </c>
      <c r="F327" s="3">
        <f>-</f>
      </c>
      <c r="G327" s="3">
        <f>-</f>
      </c>
      <c r="H327" s="3">
        <f>=ROUND((1000/((1000/E327) + (1000/f327))),2)</f>
      </c>
      <c r="I327" s="3">
        <f>=ROUND((1000/((1000/E327) + (1000/G327))),2)</f>
      </c>
      <c r="J327" s="3">
        <f>=ROUND((1000/((1000/F327) + (1000/G327))),2)</f>
      </c>
    </row>
    <row r="328">
      <c r="A328" s="2" t="str">
        <v>01/05 ВС</v>
      </c>
      <c r="B328" s="2" t="str">
        <v>15:45</v>
      </c>
      <c r="C328" s="2" t="str">
        <v>ГРЕЦИЯ ГРЕЦИЯ</v>
      </c>
      <c r="D328" s="2" t="str">
        <v>Левадиакос-Эрготелис</v>
      </c>
      <c r="E328" s="3">
        <f>-</f>
      </c>
      <c r="F328" s="3">
        <f>-</f>
      </c>
      <c r="G328" s="3">
        <f>-</f>
      </c>
      <c r="H328" s="3">
        <f>=ROUND((1000/((1000/E328) + (1000/f328))),2)</f>
      </c>
      <c r="I328" s="3">
        <f>=ROUND((1000/((1000/E328) + (1000/G328))),2)</f>
      </c>
      <c r="J328" s="3">
        <f>=ROUND((1000/((1000/F328) + (1000/G328))),2)</f>
      </c>
    </row>
    <row r="329">
      <c r="A329" s="2" t="str">
        <v>01/05 ВС</v>
      </c>
      <c r="B329" s="2" t="str">
        <v>15:45</v>
      </c>
      <c r="C329" s="2" t="str">
        <v>ГРЕЦИЯ ГРЕЦИЯ</v>
      </c>
      <c r="D329" s="2" t="str">
        <v>Олимпиакос (Б)-Олимпиакос Волос</v>
      </c>
      <c r="E329" s="3">
        <f>-</f>
      </c>
      <c r="F329" s="3">
        <f>-</f>
      </c>
      <c r="G329" s="3">
        <f>-</f>
      </c>
      <c r="H329" s="3">
        <f>=ROUND((1000/((1000/E329) + (1000/f329))),2)</f>
      </c>
      <c r="I329" s="3">
        <f>=ROUND((1000/((1000/E329) + (1000/G329))),2)</f>
      </c>
      <c r="J329" s="3">
        <f>=ROUND((1000/((1000/F329) + (1000/G329))),2)</f>
      </c>
    </row>
    <row r="330">
      <c r="A330" s="2" t="str">
        <v>01/05 ВС</v>
      </c>
      <c r="B330" s="2" t="str">
        <v>15:45</v>
      </c>
      <c r="C330" s="2" t="str">
        <v>ГРЕЦИЯ ГРЕЦИЯ</v>
      </c>
      <c r="D330" s="2" t="str">
        <v>Пансеррайкос-Ники Волос</v>
      </c>
      <c r="E330" s="3">
        <f>-</f>
      </c>
      <c r="F330" s="3">
        <f>-</f>
      </c>
      <c r="G330" s="3">
        <f>-</f>
      </c>
      <c r="H330" s="3">
        <f>=ROUND((1000/((1000/E330) + (1000/f330))),2)</f>
      </c>
      <c r="I330" s="3">
        <f>=ROUND((1000/((1000/E330) + (1000/G330))),2)</f>
      </c>
      <c r="J330" s="3">
        <f>=ROUND((1000/((1000/F330) + (1000/G330))),2)</f>
      </c>
    </row>
    <row r="331">
      <c r="A331" s="2" t="str">
        <v>01/05 ВС</v>
      </c>
      <c r="B331" s="2" t="str">
        <v>15:45</v>
      </c>
      <c r="C331" s="2" t="str">
        <v>ГРЕЦИЯ ГРЕЦИЯ</v>
      </c>
      <c r="D331" s="2" t="str">
        <v>Родос-Караискакис</v>
      </c>
      <c r="E331" s="3">
        <f>-</f>
      </c>
      <c r="F331" s="3">
        <f>-</f>
      </c>
      <c r="G331" s="3">
        <f>-</f>
      </c>
      <c r="H331" s="3">
        <f>=ROUND((1000/((1000/E331) + (1000/f331))),2)</f>
      </c>
      <c r="I331" s="3">
        <f>=ROUND((1000/((1000/E331) + (1000/G331))),2)</f>
      </c>
      <c r="J331" s="3">
        <f>=ROUND((1000/((1000/F331) + (1000/G331))),2)</f>
      </c>
    </row>
    <row r="332">
      <c r="A332" s="2" t="str">
        <v>01/05 ВС</v>
      </c>
      <c r="B332" s="2" t="str">
        <v>15:45</v>
      </c>
      <c r="C332" s="2" t="str">
        <v>ГРЕЦИЯ ГРЕЦИЯ</v>
      </c>
      <c r="D332" s="2" t="str">
        <v>Эгалео-Диагорас</v>
      </c>
      <c r="E332" s="3">
        <f>-</f>
      </c>
      <c r="F332" s="3">
        <f>-</f>
      </c>
      <c r="G332" s="3">
        <f>-</f>
      </c>
      <c r="H332" s="3">
        <f>=ROUND((1000/((1000/E332) + (1000/f332))),2)</f>
      </c>
      <c r="I332" s="3">
        <f>=ROUND((1000/((1000/E332) + (1000/G332))),2)</f>
      </c>
      <c r="J332" s="3">
        <f>=ROUND((1000/((1000/F332) + (1000/G332))),2)</f>
      </c>
    </row>
    <row r="333">
      <c r="A333" s="2" t="str">
        <v>01/05 ВС</v>
      </c>
      <c r="B333" s="2" t="str">
        <v>16:00</v>
      </c>
      <c r="C333" s="2" t="str">
        <v>ДАНИЯ ДАНИЯ</v>
      </c>
      <c r="D333" s="2" t="str">
        <v>Вайле-Сённерьюск</v>
      </c>
      <c r="E333" s="3">
        <f>1.83</f>
      </c>
      <c r="F333" s="3">
        <f>3.75</f>
      </c>
      <c r="G333" s="3">
        <f>4.20</f>
      </c>
      <c r="H333" s="3">
        <f>=ROUND((1000/((1000/E333) + (1000/f333))),2)</f>
      </c>
      <c r="I333" s="3">
        <f>=ROUND((1000/((1000/E333) + (1000/G333))),2)</f>
      </c>
      <c r="J333" s="3">
        <f>=ROUND((1000/((1000/F333) + (1000/G333))),2)</f>
      </c>
    </row>
    <row r="334">
      <c r="A334" s="2" t="str">
        <v>01/05 ВС</v>
      </c>
      <c r="B334" s="2" t="str">
        <v>16:00</v>
      </c>
      <c r="C334" s="2" t="str">
        <v>ДАНИЯ ДАНИЯ</v>
      </c>
      <c r="D334" s="2" t="str">
        <v>Оденсе-Орхус</v>
      </c>
      <c r="E334" s="3">
        <f>2.10</f>
      </c>
      <c r="F334" s="3">
        <f>3.50</f>
      </c>
      <c r="G334" s="3">
        <f>3.40</f>
      </c>
      <c r="H334" s="3">
        <f>=ROUND((1000/((1000/E334) + (1000/f334))),2)</f>
      </c>
      <c r="I334" s="3">
        <f>=ROUND((1000/((1000/E334) + (1000/G334))),2)</f>
      </c>
      <c r="J334" s="3">
        <f>=ROUND((1000/((1000/F334) + (1000/G334))),2)</f>
      </c>
    </row>
    <row r="335">
      <c r="A335" s="2" t="str">
        <v>01/05 ВС</v>
      </c>
      <c r="B335" s="2" t="str">
        <v>18:00</v>
      </c>
      <c r="C335" s="2" t="str">
        <v>ДАНИЯ ДАНИЯ</v>
      </c>
      <c r="D335" s="2" t="str">
        <v>Раннерс-Брённбю</v>
      </c>
      <c r="E335" s="3">
        <f>2.10</f>
      </c>
      <c r="F335" s="3">
        <f>3.30</f>
      </c>
      <c r="G335" s="3">
        <f>3.60</f>
      </c>
      <c r="H335" s="3">
        <f>=ROUND((1000/((1000/E335) + (1000/f335))),2)</f>
      </c>
      <c r="I335" s="3">
        <f>=ROUND((1000/((1000/E335) + (1000/G335))),2)</f>
      </c>
      <c r="J335" s="3">
        <f>=ROUND((1000/((1000/F335) + (1000/G335))),2)</f>
      </c>
    </row>
    <row r="336">
      <c r="A336" s="2" t="str">
        <v>01/05 ВС</v>
      </c>
      <c r="B336" s="2" t="str">
        <v>20:00</v>
      </c>
      <c r="C336" s="2" t="str">
        <v>ДАНИЯ ДАНИЯ</v>
      </c>
      <c r="D336" s="2" t="str">
        <v>Мидтьюлланн-Копенгаген</v>
      </c>
      <c r="E336" s="3">
        <f>2.60</f>
      </c>
      <c r="F336" s="3">
        <f>3.50</f>
      </c>
      <c r="G336" s="3">
        <f>2.62</f>
      </c>
      <c r="H336" s="3">
        <f>=ROUND((1000/((1000/E336) + (1000/f336))),2)</f>
      </c>
      <c r="I336" s="3">
        <f>=ROUND((1000/((1000/E336) + (1000/G336))),2)</f>
      </c>
      <c r="J336" s="3">
        <f>=ROUND((1000/((1000/F336) + (1000/G336))),2)</f>
      </c>
    </row>
    <row r="337">
      <c r="A337" s="2" t="str">
        <v>01/05 ВС</v>
      </c>
      <c r="B337" s="2" t="str">
        <v>16:00</v>
      </c>
      <c r="C337" s="2" t="str">
        <v>ДАНИЯ ДАНИЯ</v>
      </c>
      <c r="D337" s="2" t="str">
        <v>Яммербугт-Кёге</v>
      </c>
      <c r="E337" s="3">
        <f>3.10</f>
      </c>
      <c r="F337" s="3">
        <f>3.60</f>
      </c>
      <c r="G337" s="3">
        <f>2.20</f>
      </c>
      <c r="H337" s="3">
        <f>=ROUND((1000/((1000/E337) + (1000/f337))),2)</f>
      </c>
      <c r="I337" s="3">
        <f>=ROUND((1000/((1000/E337) + (1000/G337))),2)</f>
      </c>
      <c r="J337" s="3">
        <f>=ROUND((1000/((1000/F337) + (1000/G337))),2)</f>
      </c>
    </row>
    <row r="338">
      <c r="A338" s="2" t="str">
        <v>01/05 ВС</v>
      </c>
      <c r="B338" s="2" t="str">
        <v>15:00</v>
      </c>
      <c r="C338" s="2" t="str">
        <v>ДАНИЯ ДАНИЯ</v>
      </c>
      <c r="D338" s="2" t="str">
        <v>Академик БК-Нествед</v>
      </c>
      <c r="E338" s="3">
        <f>-</f>
      </c>
      <c r="F338" s="3">
        <f>-</f>
      </c>
      <c r="G338" s="3">
        <f>-</f>
      </c>
      <c r="H338" s="3">
        <f>=ROUND((1000/((1000/E338) + (1000/f338))),2)</f>
      </c>
      <c r="I338" s="3">
        <f>=ROUND((1000/((1000/E338) + (1000/G338))),2)</f>
      </c>
      <c r="J338" s="3">
        <f>=ROUND((1000/((1000/F338) + (1000/G338))),2)</f>
      </c>
    </row>
    <row r="339">
      <c r="A339" s="2" t="str">
        <v>01/05 ВС</v>
      </c>
      <c r="B339" s="2" t="str">
        <v>16:00</v>
      </c>
      <c r="C339" s="2" t="str">
        <v>ДАНИЯ ДАНИЯ</v>
      </c>
      <c r="D339" s="2" t="str">
        <v>Янг Бойз ФД-Карлслунде</v>
      </c>
      <c r="E339" s="3">
        <f>-</f>
      </c>
      <c r="F339" s="3">
        <f>-</f>
      </c>
      <c r="G339" s="3">
        <f>-</f>
      </c>
      <c r="H339" s="3">
        <f>=ROUND((1000/((1000/E339) + (1000/f339))),2)</f>
      </c>
      <c r="I339" s="3">
        <f>=ROUND((1000/((1000/E339) + (1000/G339))),2)</f>
      </c>
      <c r="J339" s="3">
        <f>=ROUND((1000/((1000/F339) + (1000/G339))),2)</f>
      </c>
    </row>
    <row r="340">
      <c r="A340" s="2" t="str">
        <v>01/05 ВС</v>
      </c>
      <c r="B340" s="2" t="str">
        <v>15:00</v>
      </c>
      <c r="C340" s="2" t="str">
        <v>ДАНИЯ ДАНИЯ</v>
      </c>
      <c r="D340" s="2" t="str">
        <v>Систед (Ж)-КольдингКью (Ж)</v>
      </c>
      <c r="E340" s="3">
        <f>-</f>
      </c>
      <c r="F340" s="3">
        <f>-</f>
      </c>
      <c r="G340" s="3">
        <f>-</f>
      </c>
      <c r="H340" s="3">
        <f>=ROUND((1000/((1000/E340) + (1000/f340))),2)</f>
      </c>
      <c r="I340" s="3">
        <f>=ROUND((1000/((1000/E340) + (1000/G340))),2)</f>
      </c>
      <c r="J340" s="3">
        <f>=ROUND((1000/((1000/F340) + (1000/G340))),2)</f>
      </c>
    </row>
    <row r="341">
      <c r="A341" s="2" t="str">
        <v>01/05 ВС</v>
      </c>
      <c r="B341" s="2" t="str">
        <v>00:00</v>
      </c>
      <c r="C341" s="2" t="str">
        <v>ДОМИНИКАНСКАЯ РЕСПУБЛИКА ДОМИНИКАНСКАЯ РЕСПУБЛИКА</v>
      </c>
      <c r="D341" s="2" t="str">
        <v>Дельфинес Дель Эсте-Атлетико Пантоха</v>
      </c>
      <c r="E341" s="3">
        <f>-</f>
      </c>
      <c r="F341" s="3">
        <f>-</f>
      </c>
      <c r="G341" s="3">
        <f>-</f>
      </c>
      <c r="H341" s="3">
        <f>=ROUND((1000/((1000/E341) + (1000/f341))),2)</f>
      </c>
      <c r="I341" s="3">
        <f>=ROUND((1000/((1000/E341) + (1000/G341))),2)</f>
      </c>
      <c r="J341" s="3">
        <f>=ROUND((1000/((1000/F341) + (1000/G341))),2)</f>
      </c>
    </row>
    <row r="342">
      <c r="A342" s="2" t="str">
        <v>01/05 ВС</v>
      </c>
      <c r="B342" s="2" t="str">
        <v>00:00</v>
      </c>
      <c r="C342" s="2" t="str">
        <v>ДОМИНИКАНСКАЯ РЕСПУБЛИКА ДОМИНИКАНСКАЯ РЕСПУБЛИКА</v>
      </c>
      <c r="D342" s="2" t="str">
        <v>Харабакоа-Универсидад О-М</v>
      </c>
      <c r="E342" s="3">
        <f>-</f>
      </c>
      <c r="F342" s="3">
        <f>-</f>
      </c>
      <c r="G342" s="3">
        <f>-</f>
      </c>
      <c r="H342" s="3">
        <f>=ROUND((1000/((1000/E342) + (1000/f342))),2)</f>
      </c>
      <c r="I342" s="3">
        <f>=ROUND((1000/((1000/E342) + (1000/G342))),2)</f>
      </c>
      <c r="J342" s="3">
        <f>=ROUND((1000/((1000/F342) + (1000/G342))),2)</f>
      </c>
    </row>
    <row r="343">
      <c r="A343" s="2" t="str">
        <v>01/05 ВС</v>
      </c>
      <c r="B343" s="2" t="str">
        <v>17:00</v>
      </c>
      <c r="C343" s="2" t="str">
        <v>ЕВРОПА ЕВРОПА</v>
      </c>
      <c r="D343" s="2" t="str">
        <v>Океан-ТСК-Таврия</v>
      </c>
      <c r="E343" s="3">
        <f>-</f>
      </c>
      <c r="F343" s="3">
        <f>-</f>
      </c>
      <c r="G343" s="3">
        <f>-</f>
      </c>
      <c r="H343" s="3">
        <f>=ROUND((1000/((1000/E343) + (1000/f343))),2)</f>
      </c>
      <c r="I343" s="3">
        <f>=ROUND((1000/((1000/E343) + (1000/G343))),2)</f>
      </c>
      <c r="J343" s="3">
        <f>=ROUND((1000/((1000/F343) + (1000/G343))),2)</f>
      </c>
    </row>
    <row r="344">
      <c r="A344" s="2" t="str">
        <v>01/05 ВС</v>
      </c>
      <c r="B344" s="2" t="str">
        <v>23:30</v>
      </c>
      <c r="C344" s="2" t="str">
        <v>ЕГИПЕТ ЕГИПЕТ</v>
      </c>
      <c r="D344" s="2" t="str">
        <v>Аль-Масри-Араб Контракторс</v>
      </c>
      <c r="E344" s="3">
        <f>-</f>
      </c>
      <c r="F344" s="3">
        <f>-</f>
      </c>
      <c r="G344" s="3">
        <f>-</f>
      </c>
      <c r="H344" s="3">
        <f>=ROUND((1000/((1000/E344) + (1000/f344))),2)</f>
      </c>
      <c r="I344" s="3">
        <f>=ROUND((1000/((1000/E344) + (1000/G344))),2)</f>
      </c>
      <c r="J344" s="3">
        <f>=ROUND((1000/((1000/F344) + (1000/G344))),2)</f>
      </c>
    </row>
    <row r="345">
      <c r="A345" s="2" t="str">
        <v>01/05 ВС</v>
      </c>
      <c r="B345" s="2" t="str">
        <v>23:30</v>
      </c>
      <c r="C345" s="2" t="str">
        <v>ЕГИПЕТ ЕГИПЕТ</v>
      </c>
      <c r="D345" s="2" t="str">
        <v>Eastern Company-Замалек</v>
      </c>
      <c r="E345" s="3">
        <f>-</f>
      </c>
      <c r="F345" s="3">
        <f>-</f>
      </c>
      <c r="G345" s="3">
        <f>-</f>
      </c>
      <c r="H345" s="3">
        <f>=ROUND((1000/((1000/E345) + (1000/f345))),2)</f>
      </c>
      <c r="I345" s="3">
        <f>=ROUND((1000/((1000/E345) + (1000/G345))),2)</f>
      </c>
      <c r="J345" s="3">
        <f>=ROUND((1000/((1000/F345) + (1000/G345))),2)</f>
      </c>
    </row>
    <row r="346">
      <c r="A346" s="2" t="str">
        <v>01/05 ВС</v>
      </c>
      <c r="B346" s="2" t="str">
        <v>23:30</v>
      </c>
      <c r="C346" s="2" t="str">
        <v>ЕГИПЕТ ЕГИПЕТ</v>
      </c>
      <c r="D346" s="2" t="str">
        <v>Эль-Гуна-Пирамидс</v>
      </c>
      <c r="E346" s="3">
        <f>-</f>
      </c>
      <c r="F346" s="3">
        <f>-</f>
      </c>
      <c r="G346" s="3">
        <f>-</f>
      </c>
      <c r="H346" s="3">
        <f>=ROUND((1000/((1000/E346) + (1000/f346))),2)</f>
      </c>
      <c r="I346" s="3">
        <f>=ROUND((1000/((1000/E346) + (1000/G346))),2)</f>
      </c>
      <c r="J346" s="3">
        <f>=ROUND((1000/((1000/F346) + (1000/G346))),2)</f>
      </c>
    </row>
    <row r="347">
      <c r="A347" s="2" t="str">
        <v>01/05 ВС</v>
      </c>
      <c r="B347" s="2" t="str">
        <v>17:00</v>
      </c>
      <c r="C347" s="2" t="str">
        <v>ЗИМБАБВЕ ЗИМБАБВЕ</v>
      </c>
      <c r="D347" s="2" t="str">
        <v>КАПС Юнайтед-Кранборн Буллетс</v>
      </c>
      <c r="E347" s="3">
        <f>-</f>
      </c>
      <c r="F347" s="3">
        <f>-</f>
      </c>
      <c r="G347" s="3">
        <f>-</f>
      </c>
      <c r="H347" s="3">
        <f>=ROUND((1000/((1000/E347) + (1000/f347))),2)</f>
      </c>
      <c r="I347" s="3">
        <f>=ROUND((1000/((1000/E347) + (1000/G347))),2)</f>
      </c>
      <c r="J347" s="3">
        <f>=ROUND((1000/((1000/F347) + (1000/G347))),2)</f>
      </c>
    </row>
    <row r="348">
      <c r="A348" s="2" t="str">
        <v>01/05 ВС</v>
      </c>
      <c r="B348" s="2" t="str">
        <v>17:00</v>
      </c>
      <c r="C348" s="2" t="str">
        <v>ЗИМБАБВЕ ЗИМБАБВЕ</v>
      </c>
      <c r="D348" s="2" t="str">
        <v>Маника-Кариба</v>
      </c>
      <c r="E348" s="3">
        <f>-</f>
      </c>
      <c r="F348" s="3">
        <f>-</f>
      </c>
      <c r="G348" s="3">
        <f>-</f>
      </c>
      <c r="H348" s="3">
        <f>=ROUND((1000/((1000/E348) + (1000/f348))),2)</f>
      </c>
      <c r="I348" s="3">
        <f>=ROUND((1000/((1000/E348) + (1000/G348))),2)</f>
      </c>
      <c r="J348" s="3">
        <f>=ROUND((1000/((1000/F348) + (1000/G348))),2)</f>
      </c>
    </row>
    <row r="349">
      <c r="A349" s="2" t="str">
        <v>01/05 ВС</v>
      </c>
      <c r="B349" s="2" t="str">
        <v>17:00</v>
      </c>
      <c r="C349" s="2" t="str">
        <v>ЗИМБАБВЕ ЗИМБАБВЕ</v>
      </c>
      <c r="D349" s="2" t="str">
        <v>Хайлендерс-Чикен Инн</v>
      </c>
      <c r="E349" s="3">
        <f>-</f>
      </c>
      <c r="F349" s="3">
        <f>-</f>
      </c>
      <c r="G349" s="3">
        <f>-</f>
      </c>
      <c r="H349" s="3">
        <f>=ROUND((1000/((1000/E349) + (1000/f349))),2)</f>
      </c>
      <c r="I349" s="3">
        <f>=ROUND((1000/((1000/E349) + (1000/G349))),2)</f>
      </c>
      <c r="J349" s="3">
        <f>=ROUND((1000/((1000/F349) + (1000/G349))),2)</f>
      </c>
    </row>
    <row r="350">
      <c r="A350" s="2" t="str">
        <v>01/05 ВС</v>
      </c>
      <c r="B350" s="2" t="str">
        <v>21:15</v>
      </c>
      <c r="C350" s="2" t="str">
        <v>ИЗРАИЛЬ ИЗРАИЛЬ</v>
      </c>
      <c r="D350" s="2" t="str">
        <v>Маккаби Нетания-Хапоэль Беэр-Шева</v>
      </c>
      <c r="E350" s="3">
        <f>2.80</f>
      </c>
      <c r="F350" s="3">
        <f>3.10</f>
      </c>
      <c r="G350" s="3">
        <f>2.30</f>
      </c>
      <c r="H350" s="3">
        <f>=ROUND((1000/((1000/E350) + (1000/f350))),2)</f>
      </c>
      <c r="I350" s="3">
        <f>=ROUND((1000/((1000/E350) + (1000/G350))),2)</f>
      </c>
      <c r="J350" s="3">
        <f>=ROUND((1000/((1000/F350) + (1000/G350))),2)</f>
      </c>
    </row>
    <row r="351">
      <c r="A351" s="2" t="str">
        <v>01/05 ВС</v>
      </c>
      <c r="B351" s="2" t="str">
        <v>20:00</v>
      </c>
      <c r="C351" s="2" t="str">
        <v>ИЗРАИЛЬ ИЗРАИЛЬ</v>
      </c>
      <c r="D351" s="2" t="str">
        <v>Ашдод-Кирьят-Шмона</v>
      </c>
      <c r="E351" s="3">
        <f>2.20</f>
      </c>
      <c r="F351" s="3">
        <f>3.00</f>
      </c>
      <c r="G351" s="3">
        <f>3.30</f>
      </c>
      <c r="H351" s="3">
        <f>=ROUND((1000/((1000/E351) + (1000/f351))),2)</f>
      </c>
      <c r="I351" s="3">
        <f>=ROUND((1000/((1000/E351) + (1000/G351))),2)</f>
      </c>
      <c r="J351" s="3">
        <f>=ROUND((1000/((1000/F351) + (1000/G351))),2)</f>
      </c>
    </row>
    <row r="352">
      <c r="A352" s="2" t="str">
        <v>01/05 ВС</v>
      </c>
      <c r="B352" s="2" t="str">
        <v>14:30</v>
      </c>
      <c r="C352" s="2" t="str">
        <v>ИНДИЯ ИНДИЯ</v>
      </c>
      <c r="D352" s="2" t="str">
        <v>Судева Дели-Индиан Эрроус</v>
      </c>
      <c r="E352" s="3">
        <f>-</f>
      </c>
      <c r="F352" s="3">
        <f>-</f>
      </c>
      <c r="G352" s="3">
        <f>-</f>
      </c>
      <c r="H352" s="3">
        <f>=ROUND((1000/((1000/E352) + (1000/f352))),2)</f>
      </c>
      <c r="I352" s="3">
        <f>=ROUND((1000/((1000/E352) + (1000/G352))),2)</f>
      </c>
      <c r="J352" s="3">
        <f>=ROUND((1000/((1000/F352) + (1000/G352))),2)</f>
      </c>
    </row>
    <row r="353">
      <c r="A353" s="2" t="str">
        <v>01/05 ВС</v>
      </c>
      <c r="B353" s="2" t="str">
        <v>15:30</v>
      </c>
      <c r="C353" s="2" t="str">
        <v>ИНДИЯ ИНДИЯ</v>
      </c>
      <c r="D353" s="2" t="str">
        <v>Kenkre-Реал Кашмир</v>
      </c>
      <c r="E353" s="3">
        <f>-</f>
      </c>
      <c r="F353" s="3">
        <f>-</f>
      </c>
      <c r="G353" s="3">
        <f>-</f>
      </c>
      <c r="H353" s="3">
        <f>=ROUND((1000/((1000/E353) + (1000/f353))),2)</f>
      </c>
      <c r="I353" s="3">
        <f>=ROUND((1000/((1000/E353) + (1000/G353))),2)</f>
      </c>
      <c r="J353" s="3">
        <f>=ROUND((1000/((1000/F353) + (1000/G353))),2)</f>
      </c>
    </row>
    <row r="354">
      <c r="A354" s="2" t="str">
        <v>01/05 ВС</v>
      </c>
      <c r="B354" s="2" t="str">
        <v>18:30</v>
      </c>
      <c r="C354" s="2" t="str">
        <v>ИНДИЯ ИНДИЯ</v>
      </c>
      <c r="D354" s="2" t="str">
        <v>ТРАУ-Аиджал</v>
      </c>
      <c r="E354" s="3">
        <f>-</f>
      </c>
      <c r="F354" s="3">
        <f>-</f>
      </c>
      <c r="G354" s="3">
        <f>-</f>
      </c>
      <c r="H354" s="3">
        <f>=ROUND((1000/((1000/E354) + (1000/f354))),2)</f>
      </c>
      <c r="I354" s="3">
        <f>=ROUND((1000/((1000/E354) + (1000/G354))),2)</f>
      </c>
      <c r="J354" s="3">
        <f>=ROUND((1000/((1000/F354) + (1000/G354))),2)</f>
      </c>
    </row>
    <row r="355">
      <c r="A355" s="2" t="str">
        <v>01/05 ВС</v>
      </c>
      <c r="B355" s="2" t="str">
        <v>23:30</v>
      </c>
      <c r="C355" s="2" t="str">
        <v>ИОРДАНИЯ ИОРДАНИЯ</v>
      </c>
      <c r="D355" s="2" t="str">
        <v>Сахаб-Аль-Хуссейн</v>
      </c>
      <c r="E355" s="3">
        <f>-</f>
      </c>
      <c r="F355" s="3">
        <f>-</f>
      </c>
      <c r="G355" s="3">
        <f>-</f>
      </c>
      <c r="H355" s="3">
        <f>=ROUND((1000/((1000/E355) + (1000/f355))),2)</f>
      </c>
      <c r="I355" s="3">
        <f>=ROUND((1000/((1000/E355) + (1000/G355))),2)</f>
      </c>
      <c r="J355" s="3">
        <f>=ROUND((1000/((1000/F355) + (1000/G355))),2)</f>
      </c>
    </row>
    <row r="356">
      <c r="A356" s="2" t="str">
        <v>01/05 ВС</v>
      </c>
      <c r="B356" s="2" t="str">
        <v>20:00</v>
      </c>
      <c r="C356" s="2" t="str">
        <v>ИСЛАНДИЯ ИСЛАНДИЯ</v>
      </c>
      <c r="D356" s="2" t="str">
        <v>Вестманнаэйяр-Лейкнир</v>
      </c>
      <c r="E356" s="3">
        <f>-</f>
      </c>
      <c r="F356" s="3">
        <f>-</f>
      </c>
      <c r="G356" s="3">
        <f>-</f>
      </c>
      <c r="H356" s="3">
        <f>=ROUND((1000/((1000/E356) + (1000/f356))),2)</f>
      </c>
      <c r="I356" s="3">
        <f>=ROUND((1000/((1000/E356) + (1000/G356))),2)</f>
      </c>
      <c r="J356" s="3">
        <f>=ROUND((1000/((1000/F356) + (1000/G356))),2)</f>
      </c>
    </row>
    <row r="357">
      <c r="A357" s="2" t="str">
        <v>01/05 ВС</v>
      </c>
      <c r="B357" s="2" t="str">
        <v>23:15</v>
      </c>
      <c r="C357" s="2" t="str">
        <v>ИСЛАНДИЯ ИСЛАНДИЯ</v>
      </c>
      <c r="D357" s="2" t="str">
        <v>Брейдаблик-Хабнарфьордюр</v>
      </c>
      <c r="E357" s="3">
        <f>-</f>
      </c>
      <c r="F357" s="3">
        <f>-</f>
      </c>
      <c r="G357" s="3">
        <f>-</f>
      </c>
      <c r="H357" s="3">
        <f>=ROUND((1000/((1000/E357) + (1000/f357))),2)</f>
      </c>
      <c r="I357" s="3">
        <f>=ROUND((1000/((1000/E357) + (1000/G357))),2)</f>
      </c>
      <c r="J357" s="3">
        <f>=ROUND((1000/((1000/F357) + (1000/G357))),2)</f>
      </c>
    </row>
    <row r="358">
      <c r="A358" s="2" t="str">
        <v>01/05 ВС</v>
      </c>
      <c r="B358" s="2" t="str">
        <v>16:00</v>
      </c>
      <c r="C358" s="2" t="str">
        <v>ИСПАНИЯ ИСПАНИЯ</v>
      </c>
      <c r="D358" s="2" t="str">
        <v>Аморебьета-Фуэнлабрада</v>
      </c>
      <c r="E358" s="3">
        <f>1.90</f>
      </c>
      <c r="F358" s="3">
        <f>3.40</f>
      </c>
      <c r="G358" s="3">
        <f>4.20</f>
      </c>
      <c r="H358" s="3">
        <f>=ROUND((1000/((1000/E358) + (1000/f358))),2)</f>
      </c>
      <c r="I358" s="3">
        <f>=ROUND((1000/((1000/E358) + (1000/G358))),2)</f>
      </c>
      <c r="J358" s="3">
        <f>=ROUND((1000/((1000/F358) + (1000/G358))),2)</f>
      </c>
    </row>
    <row r="359">
      <c r="A359" s="2" t="str">
        <v>01/05 ВС</v>
      </c>
      <c r="B359" s="2" t="str">
        <v>18:00</v>
      </c>
      <c r="C359" s="2" t="str">
        <v>ИСПАНИЯ ИСПАНИЯ</v>
      </c>
      <c r="D359" s="2" t="str">
        <v>Алькоркон-Жирона</v>
      </c>
      <c r="E359" s="3">
        <f>3.60</f>
      </c>
      <c r="F359" s="3">
        <f>3.50</f>
      </c>
      <c r="G359" s="3">
        <f>2.05</f>
      </c>
      <c r="H359" s="3">
        <f>=ROUND((1000/((1000/E359) + (1000/f359))),2)</f>
      </c>
      <c r="I359" s="3">
        <f>=ROUND((1000/((1000/E359) + (1000/G359))),2)</f>
      </c>
      <c r="J359" s="3">
        <f>=ROUND((1000/((1000/F359) + (1000/G359))),2)</f>
      </c>
    </row>
    <row r="360">
      <c r="A360" s="2" t="str">
        <v>01/05 ВС</v>
      </c>
      <c r="B360" s="2" t="str">
        <v>18:00</v>
      </c>
      <c r="C360" s="2" t="str">
        <v>ИСПАНИЯ ИСПАНИЯ</v>
      </c>
      <c r="D360" s="2" t="str">
        <v>Спортинг Хихон-Ибица</v>
      </c>
      <c r="E360" s="3">
        <f>2.20</f>
      </c>
      <c r="F360" s="3">
        <f>3.20</f>
      </c>
      <c r="G360" s="3">
        <f>3.50</f>
      </c>
      <c r="H360" s="3">
        <f>=ROUND((1000/((1000/E360) + (1000/f360))),2)</f>
      </c>
      <c r="I360" s="3">
        <f>=ROUND((1000/((1000/E360) + (1000/G360))),2)</f>
      </c>
      <c r="J360" s="3">
        <f>=ROUND((1000/((1000/F360) + (1000/G360))),2)</f>
      </c>
    </row>
    <row r="361">
      <c r="A361" s="2" t="str">
        <v>01/05 ВС</v>
      </c>
      <c r="B361" s="2" t="str">
        <v>20:15</v>
      </c>
      <c r="C361" s="2" t="str">
        <v>ИСПАНИЯ ИСПАНИЯ</v>
      </c>
      <c r="D361" s="2" t="str">
        <v>Луго-Тенерифе</v>
      </c>
      <c r="E361" s="3">
        <f>3.30</f>
      </c>
      <c r="F361" s="3">
        <f>3.20</f>
      </c>
      <c r="G361" s="3">
        <f>2.30</f>
      </c>
      <c r="H361" s="3">
        <f>=ROUND((1000/((1000/E361) + (1000/f361))),2)</f>
      </c>
      <c r="I361" s="3">
        <f>=ROUND((1000/((1000/E361) + (1000/G361))),2)</f>
      </c>
      <c r="J361" s="3">
        <f>=ROUND((1000/((1000/F361) + (1000/G361))),2)</f>
      </c>
    </row>
    <row r="362">
      <c r="A362" s="2" t="str">
        <v>01/05 ВС</v>
      </c>
      <c r="B362" s="2" t="str">
        <v>20:15</v>
      </c>
      <c r="C362" s="2" t="str">
        <v>ИСПАНИЯ ИСПАНИЯ</v>
      </c>
      <c r="D362" s="2" t="str">
        <v>Понферрадина-Картахена</v>
      </c>
      <c r="E362" s="3">
        <f>2.10</f>
      </c>
      <c r="F362" s="3">
        <f>3.40</f>
      </c>
      <c r="G362" s="3">
        <f>3.50</f>
      </c>
      <c r="H362" s="3">
        <f>=ROUND((1000/((1000/E362) + (1000/f362))),2)</f>
      </c>
      <c r="I362" s="3">
        <f>=ROUND((1000/((1000/E362) + (1000/G362))),2)</f>
      </c>
      <c r="J362" s="3">
        <f>=ROUND((1000/((1000/F362) + (1000/G362))),2)</f>
      </c>
    </row>
    <row r="363">
      <c r="A363" s="2" t="str">
        <v>01/05 ВС</v>
      </c>
      <c r="B363" s="2" t="str">
        <v>14:00</v>
      </c>
      <c r="C363" s="2" t="str">
        <v>ИСПАНИЯ ИСПАНИЯ</v>
      </c>
      <c r="D363" s="2" t="str">
        <v>Расинг-Сельта (Б)</v>
      </c>
      <c r="E363" s="3">
        <f>1.61</f>
      </c>
      <c r="F363" s="3">
        <f>3.60</f>
      </c>
      <c r="G363" s="3">
        <f>4.50</f>
      </c>
      <c r="H363" s="3">
        <f>=ROUND((1000/((1000/E363) + (1000/f363))),2)</f>
      </c>
      <c r="I363" s="3">
        <f>=ROUND((1000/((1000/E363) + (1000/G363))),2)</f>
      </c>
      <c r="J363" s="3">
        <f>=ROUND((1000/((1000/F363) + (1000/G363))),2)</f>
      </c>
    </row>
    <row r="364">
      <c r="A364" s="2" t="str">
        <v>01/05 ВС</v>
      </c>
      <c r="B364" s="2" t="str">
        <v>14:00</v>
      </c>
      <c r="C364" s="2" t="str">
        <v>ИСПАНИЯ ИСПАНИЯ</v>
      </c>
      <c r="D364" s="2" t="str">
        <v>Реал Унион-Райо Махадаонда</v>
      </c>
      <c r="E364" s="3">
        <f>2.05</f>
      </c>
      <c r="F364" s="3">
        <f>3.25</f>
      </c>
      <c r="G364" s="3">
        <f>3.20</f>
      </c>
      <c r="H364" s="3">
        <f>=ROUND((1000/((1000/E364) + (1000/f364))),2)</f>
      </c>
      <c r="I364" s="3">
        <f>=ROUND((1000/((1000/E364) + (1000/G364))),2)</f>
      </c>
      <c r="J364" s="3">
        <f>=ROUND((1000/((1000/F364) + (1000/G364))),2)</f>
      </c>
    </row>
    <row r="365">
      <c r="A365" s="2" t="str">
        <v>01/05 ВС</v>
      </c>
      <c r="B365" s="2" t="str">
        <v>19:00</v>
      </c>
      <c r="C365" s="2" t="str">
        <v>ИСПАНИЯ ИСПАНИЯ</v>
      </c>
      <c r="D365" s="2" t="str">
        <v>Калаорра-Интернасьонал де Мадрид</v>
      </c>
      <c r="E365" s="3">
        <f>1.95</f>
      </c>
      <c r="F365" s="3">
        <f>3.10</f>
      </c>
      <c r="G365" s="3">
        <f>3.60</f>
      </c>
      <c r="H365" s="3">
        <f>=ROUND((1000/((1000/E365) + (1000/f365))),2)</f>
      </c>
      <c r="I365" s="3">
        <f>=ROUND((1000/((1000/E365) + (1000/G365))),2)</f>
      </c>
      <c r="J365" s="3">
        <f>=ROUND((1000/((1000/F365) + (1000/G365))),2)</f>
      </c>
    </row>
    <row r="366">
      <c r="A366" s="2" t="str">
        <v>01/05 ВС</v>
      </c>
      <c r="B366" s="2" t="str">
        <v>19:00</v>
      </c>
      <c r="C366" s="2" t="str">
        <v>ИСПАНИЯ ИСПАНИЯ</v>
      </c>
      <c r="D366" s="2" t="str">
        <v>Леонеса-Самора</v>
      </c>
      <c r="E366" s="3">
        <f>1.85</f>
      </c>
      <c r="F366" s="3">
        <f>3.10</f>
      </c>
      <c r="G366" s="3">
        <f>4.20</f>
      </c>
      <c r="H366" s="3">
        <f>=ROUND((1000/((1000/E366) + (1000/f366))),2)</f>
      </c>
      <c r="I366" s="3">
        <f>=ROUND((1000/((1000/E366) + (1000/G366))),2)</f>
      </c>
      <c r="J366" s="3">
        <f>=ROUND((1000/((1000/F366) + (1000/G366))),2)</f>
      </c>
    </row>
    <row r="367">
      <c r="A367" s="2" t="str">
        <v>01/05 ВС</v>
      </c>
      <c r="B367" s="2" t="str">
        <v>19:00</v>
      </c>
      <c r="C367" s="2" t="str">
        <v>ИСПАНИЯ ИСПАНИЯ</v>
      </c>
      <c r="D367" s="2" t="str">
        <v>Сан-Себастьян-Вальядолид Промесас</v>
      </c>
      <c r="E367" s="3">
        <f>1.75</f>
      </c>
      <c r="F367" s="3">
        <f>3.10</f>
      </c>
      <c r="G367" s="3">
        <f>4.50</f>
      </c>
      <c r="H367" s="3">
        <f>=ROUND((1000/((1000/E367) + (1000/f367))),2)</f>
      </c>
      <c r="I367" s="3">
        <f>=ROUND((1000/((1000/E367) + (1000/G367))),2)</f>
      </c>
      <c r="J367" s="3">
        <f>=ROUND((1000/((1000/F367) + (1000/G367))),2)</f>
      </c>
    </row>
    <row r="368">
      <c r="A368" s="2" t="str">
        <v>01/05 ВС</v>
      </c>
      <c r="B368" s="2" t="str">
        <v>14:00</v>
      </c>
      <c r="C368" s="2" t="str">
        <v>ИСПАНИЯ ИСПАНИЯ</v>
      </c>
      <c r="D368" s="2" t="str">
        <v>Алькояно-Альбасете</v>
      </c>
      <c r="E368" s="3">
        <f>2.30</f>
      </c>
      <c r="F368" s="3">
        <f>2.90</f>
      </c>
      <c r="G368" s="3">
        <f>2.90</f>
      </c>
      <c r="H368" s="3">
        <f>=ROUND((1000/((1000/E368) + (1000/f368))),2)</f>
      </c>
      <c r="I368" s="3">
        <f>=ROUND((1000/((1000/E368) + (1000/G368))),2)</f>
      </c>
      <c r="J368" s="3">
        <f>=ROUND((1000/((1000/F368) + (1000/G368))),2)</f>
      </c>
    </row>
    <row r="369">
      <c r="A369" s="2" t="str">
        <v>01/05 ВС</v>
      </c>
      <c r="B369" s="2" t="str">
        <v>14:00</v>
      </c>
      <c r="C369" s="2" t="str">
        <v>ИСПАНИЯ ИСПАНИЯ</v>
      </c>
      <c r="D369" s="2" t="str">
        <v>Вильярреал (Б)-Балеарес</v>
      </c>
      <c r="E369" s="3">
        <f>1.95</f>
      </c>
      <c r="F369" s="3">
        <f>3.10</f>
      </c>
      <c r="G369" s="3">
        <f>3.60</f>
      </c>
      <c r="H369" s="3">
        <f>=ROUND((1000/((1000/E369) + (1000/f369))),2)</f>
      </c>
      <c r="I369" s="3">
        <f>=ROUND((1000/((1000/E369) + (1000/G369))),2)</f>
      </c>
      <c r="J369" s="3">
        <f>=ROUND((1000/((1000/F369) + (1000/G369))),2)</f>
      </c>
    </row>
    <row r="370">
      <c r="A370" s="2" t="str">
        <v>01/05 ВС</v>
      </c>
      <c r="B370" s="2" t="str">
        <v>14:00</v>
      </c>
      <c r="C370" s="2" t="str">
        <v>ИСПАНИЯ ИСПАНИЯ</v>
      </c>
      <c r="D370" s="2" t="str">
        <v>УКАМ Мурсия-Линарес</v>
      </c>
      <c r="E370" s="3">
        <f>2.30</f>
      </c>
      <c r="F370" s="3">
        <f>3.20</f>
      </c>
      <c r="G370" s="3">
        <f>2.70</f>
      </c>
      <c r="H370" s="3">
        <f>=ROUND((1000/((1000/E370) + (1000/f370))),2)</f>
      </c>
      <c r="I370" s="3">
        <f>=ROUND((1000/((1000/E370) + (1000/G370))),2)</f>
      </c>
      <c r="J370" s="3">
        <f>=ROUND((1000/((1000/F370) + (1000/G370))),2)</f>
      </c>
    </row>
    <row r="371">
      <c r="A371" s="2" t="str">
        <v>01/05 ВС</v>
      </c>
      <c r="B371" s="2" t="str">
        <v>19:00</v>
      </c>
      <c r="C371" s="2" t="str">
        <v>ИСПАНИЯ ИСПАНИЯ</v>
      </c>
      <c r="D371" s="2" t="str">
        <v>Санлукуэно-Коста-Брава</v>
      </c>
      <c r="E371" s="3">
        <f>1.44</f>
      </c>
      <c r="F371" s="3">
        <f>4.50</f>
      </c>
      <c r="G371" s="3">
        <f>5.50</f>
      </c>
      <c r="H371" s="3">
        <f>=ROUND((1000/((1000/E371) + (1000/f371))),2)</f>
      </c>
      <c r="I371" s="3">
        <f>=ROUND((1000/((1000/E371) + (1000/G371))),2)</f>
      </c>
      <c r="J371" s="3">
        <f>=ROUND((1000/((1000/F371) + (1000/G371))),2)</f>
      </c>
    </row>
    <row r="372">
      <c r="A372" s="2" t="str">
        <v>01/05 ВС</v>
      </c>
      <c r="B372" s="2" t="str">
        <v>21:00</v>
      </c>
      <c r="C372" s="2" t="str">
        <v>ИСПАНИЯ ИСПАНИЯ</v>
      </c>
      <c r="D372" s="2" t="str">
        <v>Сабадель-Химнастик</v>
      </c>
      <c r="E372" s="3">
        <f>1.95</f>
      </c>
      <c r="F372" s="3">
        <f>2.80</f>
      </c>
      <c r="G372" s="3">
        <f>4.00</f>
      </c>
      <c r="H372" s="3">
        <f>=ROUND((1000/((1000/E372) + (1000/f372))),2)</f>
      </c>
      <c r="I372" s="3">
        <f>=ROUND((1000/((1000/E372) + (1000/G372))),2)</f>
      </c>
      <c r="J372" s="3">
        <f>=ROUND((1000/((1000/F372) + (1000/G372))),2)</f>
      </c>
    </row>
    <row r="373">
      <c r="A373" s="2" t="str">
        <v>01/05 ВС</v>
      </c>
      <c r="B373" s="2" t="str">
        <v>14:00</v>
      </c>
      <c r="C373" s="2" t="str">
        <v>ИСПАНИЯ ИСПАНИЯ</v>
      </c>
      <c r="D373" s="2" t="str">
        <v>Реал Авилес-Леганес (Б)</v>
      </c>
      <c r="E373" s="3">
        <f>-</f>
      </c>
      <c r="F373" s="3">
        <f>-</f>
      </c>
      <c r="G373" s="3">
        <f>-</f>
      </c>
      <c r="H373" s="3">
        <f>=ROUND((1000/((1000/E373) + (1000/f373))),2)</f>
      </c>
      <c r="I373" s="3">
        <f>=ROUND((1000/((1000/E373) + (1000/G373))),2)</f>
      </c>
      <c r="J373" s="3">
        <f>=ROUND((1000/((1000/F373) + (1000/G373))),2)</f>
      </c>
    </row>
    <row r="374">
      <c r="A374" s="2" t="str">
        <v>01/05 ВС</v>
      </c>
      <c r="B374" s="2" t="str">
        <v>19:00</v>
      </c>
      <c r="C374" s="2" t="str">
        <v>ИСПАНИЯ ИСПАНИЯ</v>
      </c>
      <c r="D374" s="2" t="str">
        <v>Ароса-Мостолес</v>
      </c>
      <c r="E374" s="3">
        <f>-</f>
      </c>
      <c r="F374" s="3">
        <f>-</f>
      </c>
      <c r="G374" s="3">
        <f>-</f>
      </c>
      <c r="H374" s="3">
        <f>=ROUND((1000/((1000/E374) + (1000/f374))),2)</f>
      </c>
      <c r="I374" s="3">
        <f>=ROUND((1000/((1000/E374) + (1000/G374))),2)</f>
      </c>
      <c r="J374" s="3">
        <f>=ROUND((1000/((1000/F374) + (1000/G374))),2)</f>
      </c>
    </row>
    <row r="375">
      <c r="A375" s="2" t="str">
        <v>01/05 ВС</v>
      </c>
      <c r="B375" s="2" t="str">
        <v>19:00</v>
      </c>
      <c r="C375" s="2" t="str">
        <v>ИСПАНИЯ ИСПАНИЯ</v>
      </c>
      <c r="D375" s="2" t="str">
        <v>Коруксо-Марино де Луанко</v>
      </c>
      <c r="E375" s="3">
        <f>-</f>
      </c>
      <c r="F375" s="3">
        <f>-</f>
      </c>
      <c r="G375" s="3">
        <f>-</f>
      </c>
      <c r="H375" s="3">
        <f>=ROUND((1000/((1000/E375) + (1000/f375))),2)</f>
      </c>
      <c r="I375" s="3">
        <f>=ROUND((1000/((1000/E375) + (1000/G375))),2)</f>
      </c>
      <c r="J375" s="3">
        <f>=ROUND((1000/((1000/F375) + (1000/G375))),2)</f>
      </c>
    </row>
    <row r="376">
      <c r="A376" s="2" t="str">
        <v>01/05 ВС</v>
      </c>
      <c r="B376" s="2" t="str">
        <v>19:00</v>
      </c>
      <c r="C376" s="2" t="str">
        <v>ИСПАНИЯ ИСПАНИЯ</v>
      </c>
      <c r="D376" s="2" t="str">
        <v>Навалькарнеро-Бергантиньос</v>
      </c>
      <c r="E376" s="3">
        <f>-</f>
      </c>
      <c r="F376" s="3">
        <f>-</f>
      </c>
      <c r="G376" s="3">
        <f>-</f>
      </c>
      <c r="H376" s="3">
        <f>=ROUND((1000/((1000/E376) + (1000/f376))),2)</f>
      </c>
      <c r="I376" s="3">
        <f>=ROUND((1000/((1000/E376) + (1000/G376))),2)</f>
      </c>
      <c r="J376" s="3">
        <f>=ROUND((1000/((1000/F376) + (1000/G376))),2)</f>
      </c>
    </row>
    <row r="377">
      <c r="A377" s="2" t="str">
        <v>01/05 ВС</v>
      </c>
      <c r="B377" s="2" t="str">
        <v>19:00</v>
      </c>
      <c r="C377" s="2" t="str">
        <v>ИСПАНИЯ ИСПАНИЯ</v>
      </c>
      <c r="D377" s="2" t="str">
        <v>Саламанка-Паленсия КА</v>
      </c>
      <c r="E377" s="3">
        <f>-</f>
      </c>
      <c r="F377" s="3">
        <f>-</f>
      </c>
      <c r="G377" s="3">
        <f>-</f>
      </c>
      <c r="H377" s="3">
        <f>=ROUND((1000/((1000/E377) + (1000/f377))),2)</f>
      </c>
      <c r="I377" s="3">
        <f>=ROUND((1000/((1000/E377) + (1000/G377))),2)</f>
      </c>
      <c r="J377" s="3">
        <f>=ROUND((1000/((1000/F377) + (1000/G377))),2)</f>
      </c>
    </row>
    <row r="378">
      <c r="A378" s="2" t="str">
        <v>01/05 ВС</v>
      </c>
      <c r="B378" s="2" t="str">
        <v>20:00</v>
      </c>
      <c r="C378" s="2" t="str">
        <v>ИСПАНИЯ ИСПАНИЯ</v>
      </c>
      <c r="D378" s="2" t="str">
        <v>Гимнастика Сеговиана-Льянера</v>
      </c>
      <c r="E378" s="3">
        <f>-</f>
      </c>
      <c r="F378" s="3">
        <f>-</f>
      </c>
      <c r="G378" s="3">
        <f>-</f>
      </c>
      <c r="H378" s="3">
        <f>=ROUND((1000/((1000/E378) + (1000/f378))),2)</f>
      </c>
      <c r="I378" s="3">
        <f>=ROUND((1000/((1000/E378) + (1000/G378))),2)</f>
      </c>
      <c r="J378" s="3">
        <f>=ROUND((1000/((1000/F378) + (1000/G378))),2)</f>
      </c>
    </row>
    <row r="379">
      <c r="A379" s="2" t="str">
        <v>01/05 ВС</v>
      </c>
      <c r="B379" s="2" t="str">
        <v>19:00</v>
      </c>
      <c r="C379" s="2" t="str">
        <v>ИСПАНИЯ ИСПАНИЯ</v>
      </c>
      <c r="D379" s="2" t="str">
        <v>Расинг Риоха-Сан-Хуан</v>
      </c>
      <c r="E379" s="3">
        <f>-</f>
      </c>
      <c r="F379" s="3">
        <f>-</f>
      </c>
      <c r="G379" s="3">
        <f>-</f>
      </c>
      <c r="H379" s="3">
        <f>=ROUND((1000/((1000/E379) + (1000/f379))),2)</f>
      </c>
      <c r="I379" s="3">
        <f>=ROUND((1000/((1000/E379) + (1000/G379))),2)</f>
      </c>
      <c r="J379" s="3">
        <f>=ROUND((1000/((1000/F379) + (1000/G379))),2)</f>
      </c>
    </row>
    <row r="380">
      <c r="A380" s="2" t="str">
        <v>01/05 ВС</v>
      </c>
      <c r="B380" s="2" t="str">
        <v>19:30</v>
      </c>
      <c r="C380" s="2" t="str">
        <v>ИСПАНИЯ ИСПАНИЯ</v>
      </c>
      <c r="D380" s="2" t="str">
        <v>Бургос Промесас-Аренас Клуб</v>
      </c>
      <c r="E380" s="3">
        <f>-</f>
      </c>
      <c r="F380" s="3">
        <f>-</f>
      </c>
      <c r="G380" s="3">
        <f>-</f>
      </c>
      <c r="H380" s="3">
        <f>=ROUND((1000/((1000/E380) + (1000/f380))),2)</f>
      </c>
      <c r="I380" s="3">
        <f>=ROUND((1000/((1000/E380) + (1000/G380))),2)</f>
      </c>
      <c r="J380" s="3">
        <f>=ROUND((1000/((1000/F380) + (1000/G380))),2)</f>
      </c>
    </row>
    <row r="381">
      <c r="A381" s="2" t="str">
        <v>01/05 ВС</v>
      </c>
      <c r="B381" s="2" t="str">
        <v>19:30</v>
      </c>
      <c r="C381" s="2" t="str">
        <v>ИСПАНИЯ ИСПАНИЯ</v>
      </c>
      <c r="D381" s="2" t="str">
        <v>Герника Клуб-Наксара</v>
      </c>
      <c r="E381" s="3">
        <f>-</f>
      </c>
      <c r="F381" s="3">
        <f>-</f>
      </c>
      <c r="G381" s="3">
        <f>-</f>
      </c>
      <c r="H381" s="3">
        <f>=ROUND((1000/((1000/E381) + (1000/f381))),2)</f>
      </c>
      <c r="I381" s="3">
        <f>=ROUND((1000/((1000/E381) + (1000/G381))),2)</f>
      </c>
      <c r="J381" s="3">
        <f>=ROUND((1000/((1000/F381) + (1000/G381))),2)</f>
      </c>
    </row>
    <row r="382">
      <c r="A382" s="2" t="str">
        <v>01/05 ВС</v>
      </c>
      <c r="B382" s="2" t="str">
        <v>20:00</v>
      </c>
      <c r="C382" s="2" t="str">
        <v>ИСПАНИЯ ИСПАНИЯ</v>
      </c>
      <c r="D382" s="2" t="str">
        <v>Кайон-Тропесон</v>
      </c>
      <c r="E382" s="3">
        <f>-</f>
      </c>
      <c r="F382" s="3">
        <f>-</f>
      </c>
      <c r="G382" s="3">
        <f>-</f>
      </c>
      <c r="H382" s="3">
        <f>=ROUND((1000/((1000/E382) + (1000/f382))),2)</f>
      </c>
      <c r="I382" s="3">
        <f>=ROUND((1000/((1000/E382) + (1000/G382))),2)</f>
      </c>
      <c r="J382" s="3">
        <f>=ROUND((1000/((1000/F382) + (1000/G382))),2)</f>
      </c>
    </row>
    <row r="383">
      <c r="A383" s="2" t="str">
        <v>01/05 ВС</v>
      </c>
      <c r="B383" s="2" t="str">
        <v>20:00</v>
      </c>
      <c r="C383" s="2" t="str">
        <v>ИСПАНИЯ ИСПАНИЯ</v>
      </c>
      <c r="D383" s="2" t="str">
        <v>Расинг (Б)-Исарра</v>
      </c>
      <c r="E383" s="3">
        <f>-</f>
      </c>
      <c r="F383" s="3">
        <f>-</f>
      </c>
      <c r="G383" s="3">
        <f>-</f>
      </c>
      <c r="H383" s="3">
        <f>=ROUND((1000/((1000/E383) + (1000/f383))),2)</f>
      </c>
      <c r="I383" s="3">
        <f>=ROUND((1000/((1000/E383) + (1000/G383))),2)</f>
      </c>
      <c r="J383" s="3">
        <f>=ROUND((1000/((1000/F383) + (1000/G383))),2)</f>
      </c>
    </row>
    <row r="384">
      <c r="A384" s="2" t="str">
        <v>01/05 ВС</v>
      </c>
      <c r="B384" s="2" t="str">
        <v>14:00</v>
      </c>
      <c r="C384" s="2" t="str">
        <v>ИСПАНИЯ ИСПАНИЯ</v>
      </c>
      <c r="D384" s="2" t="str">
        <v>Андрач-Европа</v>
      </c>
      <c r="E384" s="3">
        <f>-</f>
      </c>
      <c r="F384" s="3">
        <f>-</f>
      </c>
      <c r="G384" s="3">
        <f>-</f>
      </c>
      <c r="H384" s="3">
        <f>=ROUND((1000/((1000/E384) + (1000/f384))),2)</f>
      </c>
      <c r="I384" s="3">
        <f>=ROUND((1000/((1000/E384) + (1000/G384))),2)</f>
      </c>
      <c r="J384" s="3">
        <f>=ROUND((1000/((1000/F384) + (1000/G384))),2)</f>
      </c>
    </row>
    <row r="385">
      <c r="A385" s="2" t="str">
        <v>01/05 ВС</v>
      </c>
      <c r="B385" s="2" t="str">
        <v>14:00</v>
      </c>
      <c r="C385" s="2" t="str">
        <v>ИСПАНИЯ ИСПАНИЯ</v>
      </c>
      <c r="D385" s="2" t="str">
        <v>Ибица Ислас Питиусас-Бадалона</v>
      </c>
      <c r="E385" s="3">
        <f>-</f>
      </c>
      <c r="F385" s="3">
        <f>-</f>
      </c>
      <c r="G385" s="3">
        <f>-</f>
      </c>
      <c r="H385" s="3">
        <f>=ROUND((1000/((1000/E385) + (1000/f385))),2)</f>
      </c>
      <c r="I385" s="3">
        <f>=ROUND((1000/((1000/E385) + (1000/G385))),2)</f>
      </c>
      <c r="J385" s="3">
        <f>=ROUND((1000/((1000/F385) + (1000/G385))),2)</f>
      </c>
    </row>
    <row r="386">
      <c r="A386" s="2" t="str">
        <v>01/05 ВС</v>
      </c>
      <c r="B386" s="2" t="str">
        <v>14:00</v>
      </c>
      <c r="C386" s="2" t="str">
        <v>ИСПАНИЯ ИСПАНИЯ</v>
      </c>
      <c r="D386" s="2" t="str">
        <v>Серданьола-дель-Вальес-Пенья Депортина</v>
      </c>
      <c r="E386" s="3">
        <f>-</f>
      </c>
      <c r="F386" s="3">
        <f>-</f>
      </c>
      <c r="G386" s="3">
        <f>-</f>
      </c>
      <c r="H386" s="3">
        <f>=ROUND((1000/((1000/E386) + (1000/f386))),2)</f>
      </c>
      <c r="I386" s="3">
        <f>=ROUND((1000/((1000/E386) + (1000/G386))),2)</f>
      </c>
      <c r="J386" s="3">
        <f>=ROUND((1000/((1000/F386) + (1000/G386))),2)</f>
      </c>
    </row>
    <row r="387">
      <c r="A387" s="2" t="str">
        <v>01/05 ВС</v>
      </c>
      <c r="B387" s="2" t="str">
        <v>14:00</v>
      </c>
      <c r="C387" s="2" t="str">
        <v>ИСПАНИЯ ИСПАНИЯ</v>
      </c>
      <c r="D387" s="2" t="str">
        <v>Терраса-Форментера</v>
      </c>
      <c r="E387" s="3">
        <f>-</f>
      </c>
      <c r="F387" s="3">
        <f>-</f>
      </c>
      <c r="G387" s="3">
        <f>-</f>
      </c>
      <c r="H387" s="3">
        <f>=ROUND((1000/((1000/E387) + (1000/f387))),2)</f>
      </c>
      <c r="I387" s="3">
        <f>=ROUND((1000/((1000/E387) + (1000/G387))),2)</f>
      </c>
      <c r="J387" s="3">
        <f>=ROUND((1000/((1000/F387) + (1000/G387))),2)</f>
      </c>
    </row>
    <row r="388">
      <c r="A388" s="2" t="str">
        <v>01/05 ВС</v>
      </c>
      <c r="B388" s="2" t="str">
        <v>14:00</v>
      </c>
      <c r="C388" s="2" t="str">
        <v>ИСПАНИЯ ИСПАНИЯ</v>
      </c>
      <c r="D388" s="2" t="str">
        <v>Эбро-Бреа</v>
      </c>
      <c r="E388" s="3">
        <f>-</f>
      </c>
      <c r="F388" s="3">
        <f>-</f>
      </c>
      <c r="G388" s="3">
        <f>-</f>
      </c>
      <c r="H388" s="3">
        <f>=ROUND((1000/((1000/E388) + (1000/f388))),2)</f>
      </c>
      <c r="I388" s="3">
        <f>=ROUND((1000/((1000/E388) + (1000/G388))),2)</f>
      </c>
      <c r="J388" s="3">
        <f>=ROUND((1000/((1000/F388) + (1000/G388))),2)</f>
      </c>
    </row>
    <row r="389">
      <c r="A389" s="2" t="str">
        <v>01/05 ВС</v>
      </c>
      <c r="B389" s="2" t="str">
        <v>19:30</v>
      </c>
      <c r="C389" s="2" t="str">
        <v>ИСПАНИЯ ИСПАНИЯ</v>
      </c>
      <c r="D389" s="2" t="str">
        <v>Таразона-Прат</v>
      </c>
      <c r="E389" s="3">
        <f>-</f>
      </c>
      <c r="F389" s="3">
        <f>-</f>
      </c>
      <c r="G389" s="3">
        <f>-</f>
      </c>
      <c r="H389" s="3">
        <f>=ROUND((1000/((1000/E389) + (1000/f389))),2)</f>
      </c>
      <c r="I389" s="3">
        <f>=ROUND((1000/((1000/E389) + (1000/G389))),2)</f>
      </c>
      <c r="J389" s="3">
        <f>=ROUND((1000/((1000/F389) + (1000/G389))),2)</f>
      </c>
    </row>
    <row r="390">
      <c r="A390" s="2" t="str">
        <v>01/05 ВС</v>
      </c>
      <c r="B390" s="2" t="str">
        <v>20:00</v>
      </c>
      <c r="C390" s="2" t="str">
        <v>ИСПАНИЯ ИСПАНИЯ</v>
      </c>
      <c r="D390" s="2" t="str">
        <v>Ллейда-Уэска (Б)</v>
      </c>
      <c r="E390" s="3">
        <f>-</f>
      </c>
      <c r="F390" s="3">
        <f>-</f>
      </c>
      <c r="G390" s="3">
        <f>-</f>
      </c>
      <c r="H390" s="3">
        <f>=ROUND((1000/((1000/E390) + (1000/f390))),2)</f>
      </c>
      <c r="I390" s="3">
        <f>=ROUND((1000/((1000/E390) + (1000/G390))),2)</f>
      </c>
      <c r="J390" s="3">
        <f>=ROUND((1000/((1000/F390) + (1000/G390))),2)</f>
      </c>
    </row>
    <row r="391">
      <c r="A391" s="2" t="str">
        <v>01/05 ВС</v>
      </c>
      <c r="B391" s="2" t="str">
        <v>20:00</v>
      </c>
      <c r="C391" s="2" t="str">
        <v>ИСПАНИЯ ИСПАНИЯ</v>
      </c>
      <c r="D391" s="2" t="str">
        <v>Теруэль-Нумансия</v>
      </c>
      <c r="E391" s="3">
        <f>-</f>
      </c>
      <c r="F391" s="3">
        <f>-</f>
      </c>
      <c r="G391" s="3">
        <f>-</f>
      </c>
      <c r="H391" s="3">
        <f>=ROUND((1000/((1000/E391) + (1000/f391))),2)</f>
      </c>
      <c r="I391" s="3">
        <f>=ROUND((1000/((1000/E391) + (1000/G391))),2)</f>
      </c>
      <c r="J391" s="3">
        <f>=ROUND((1000/((1000/F391) + (1000/G391))),2)</f>
      </c>
    </row>
    <row r="392">
      <c r="A392" s="2" t="str">
        <v>01/05 ВС</v>
      </c>
      <c r="B392" s="2" t="str">
        <v>14:00</v>
      </c>
      <c r="C392" s="2" t="str">
        <v>ИСПАНИЯ ИСПАНИЯ</v>
      </c>
      <c r="D392" s="2" t="str">
        <v>Велес-Антекера</v>
      </c>
      <c r="E392" s="3">
        <f>-</f>
      </c>
      <c r="F392" s="3">
        <f>-</f>
      </c>
      <c r="G392" s="3">
        <f>-</f>
      </c>
      <c r="H392" s="3">
        <f>=ROUND((1000/((1000/E392) + (1000/f392))),2)</f>
      </c>
      <c r="I392" s="3">
        <f>=ROUND((1000/((1000/E392) + (1000/G392))),2)</f>
      </c>
      <c r="J392" s="3">
        <f>=ROUND((1000/((1000/F392) + (1000/G392))),2)</f>
      </c>
    </row>
    <row r="393">
      <c r="A393" s="2" t="str">
        <v>01/05 ВС</v>
      </c>
      <c r="B393" s="2" t="str">
        <v>14:00</v>
      </c>
      <c r="C393" s="2" t="str">
        <v>ИСПАНИЯ ИСПАНИЯ</v>
      </c>
      <c r="D393" s="2" t="str">
        <v>Кадис (Б)-Сан Фернандо</v>
      </c>
      <c r="E393" s="3">
        <f>-</f>
      </c>
      <c r="F393" s="3">
        <f>-</f>
      </c>
      <c r="G393" s="3">
        <f>-</f>
      </c>
      <c r="H393" s="3">
        <f>=ROUND((1000/((1000/E393) + (1000/f393))),2)</f>
      </c>
      <c r="I393" s="3">
        <f>=ROUND((1000/((1000/E393) + (1000/G393))),2)</f>
      </c>
      <c r="J393" s="3">
        <f>=ROUND((1000/((1000/F393) + (1000/G393))),2)</f>
      </c>
    </row>
    <row r="394">
      <c r="A394" s="2" t="str">
        <v>01/05 ВС</v>
      </c>
      <c r="B394" s="2" t="str">
        <v>14:00</v>
      </c>
      <c r="C394" s="2" t="str">
        <v>ИСПАНИЯ ИСПАНИЯ</v>
      </c>
      <c r="D394" s="2" t="str">
        <v>Кория-Тамарасейте</v>
      </c>
      <c r="E394" s="3">
        <f>-</f>
      </c>
      <c r="F394" s="3">
        <f>-</f>
      </c>
      <c r="G394" s="3">
        <f>-</f>
      </c>
      <c r="H394" s="3">
        <f>=ROUND((1000/((1000/E394) + (1000/f394))),2)</f>
      </c>
      <c r="I394" s="3">
        <f>=ROUND((1000/((1000/E394) + (1000/G394))),2)</f>
      </c>
      <c r="J394" s="3">
        <f>=ROUND((1000/((1000/F394) + (1000/G394))),2)</f>
      </c>
    </row>
    <row r="395">
      <c r="A395" s="2" t="str">
        <v>01/05 ВС</v>
      </c>
      <c r="B395" s="2" t="str">
        <v>14:00</v>
      </c>
      <c r="C395" s="2" t="str">
        <v>ИСПАНИЯ ИСПАНИЯ</v>
      </c>
      <c r="D395" s="2" t="str">
        <v>Сеута-Сан-Рока</v>
      </c>
      <c r="E395" s="3">
        <f>-</f>
      </c>
      <c r="F395" s="3">
        <f>-</f>
      </c>
      <c r="G395" s="3">
        <f>-</f>
      </c>
      <c r="H395" s="3">
        <f>=ROUND((1000/((1000/E395) + (1000/f395))),2)</f>
      </c>
      <c r="I395" s="3">
        <f>=ROUND((1000/((1000/E395) + (1000/G395))),2)</f>
      </c>
      <c r="J395" s="3">
        <f>=ROUND((1000/((1000/F395) + (1000/G395))),2)</f>
      </c>
    </row>
    <row r="396">
      <c r="A396" s="2" t="str">
        <v>01/05 ВС</v>
      </c>
      <c r="B396" s="2" t="str">
        <v>15:00</v>
      </c>
      <c r="C396" s="2" t="str">
        <v>ИСПАНИЯ ИСПАНИЯ</v>
      </c>
      <c r="D396" s="2" t="str">
        <v>Лас-Пальмас (Б)-Какерено</v>
      </c>
      <c r="E396" s="3">
        <f>-</f>
      </c>
      <c r="F396" s="3">
        <f>-</f>
      </c>
      <c r="G396" s="3">
        <f>-</f>
      </c>
      <c r="H396" s="3">
        <f>=ROUND((1000/((1000/E396) + (1000/f396))),2)</f>
      </c>
      <c r="I396" s="3">
        <f>=ROUND((1000/((1000/E396) + (1000/G396))),2)</f>
      </c>
      <c r="J396" s="3">
        <f>=ROUND((1000/((1000/F396) + (1000/G396))),2)</f>
      </c>
    </row>
    <row r="397">
      <c r="A397" s="2" t="str">
        <v>01/05 ВС</v>
      </c>
      <c r="B397" s="2" t="str">
        <v>15:00</v>
      </c>
      <c r="C397" s="2" t="str">
        <v>ИСПАНИЯ ИСПАНИЯ</v>
      </c>
      <c r="D397" s="2" t="str">
        <v>Панадерия-Кордоба</v>
      </c>
      <c r="E397" s="3">
        <f>-</f>
      </c>
      <c r="F397" s="3">
        <f>-</f>
      </c>
      <c r="G397" s="3">
        <f>-</f>
      </c>
      <c r="H397" s="3">
        <f>=ROUND((1000/((1000/E397) + (1000/f397))),2)</f>
      </c>
      <c r="I397" s="3">
        <f>=ROUND((1000/((1000/E397) + (1000/G397))),2)</f>
      </c>
      <c r="J397" s="3">
        <f>=ROUND((1000/((1000/F397) + (1000/G397))),2)</f>
      </c>
    </row>
    <row r="398">
      <c r="A398" s="2" t="str">
        <v>01/05 ВС</v>
      </c>
      <c r="B398" s="2" t="str">
        <v>20:00</v>
      </c>
      <c r="C398" s="2" t="str">
        <v>ИСПАНИЯ ИСПАНИЯ</v>
      </c>
      <c r="D398" s="2" t="str">
        <v>Херес Депортиво-Менсахеро</v>
      </c>
      <c r="E398" s="3">
        <f>-</f>
      </c>
      <c r="F398" s="3">
        <f>-</f>
      </c>
      <c r="G398" s="3">
        <f>-</f>
      </c>
      <c r="H398" s="3">
        <f>=ROUND((1000/((1000/E398) + (1000/f398))),2)</f>
      </c>
      <c r="I398" s="3">
        <f>=ROUND((1000/((1000/E398) + (1000/G398))),2)</f>
      </c>
      <c r="J398" s="3">
        <f>=ROUND((1000/((1000/F398) + (1000/G398))),2)</f>
      </c>
    </row>
    <row r="399">
      <c r="A399" s="2" t="str">
        <v>01/05 ВС</v>
      </c>
      <c r="B399" s="2" t="str">
        <v>22:00</v>
      </c>
      <c r="C399" s="2" t="str">
        <v>ИСПАНИЯ ИСПАНИЯ</v>
      </c>
      <c r="D399" s="2" t="str">
        <v>Мерида АД-Вильяновенсе</v>
      </c>
      <c r="E399" s="3">
        <f>-</f>
      </c>
      <c r="F399" s="3">
        <f>-</f>
      </c>
      <c r="G399" s="3">
        <f>-</f>
      </c>
      <c r="H399" s="3">
        <f>=ROUND((1000/((1000/E399) + (1000/f399))),2)</f>
      </c>
      <c r="I399" s="3">
        <f>=ROUND((1000/((1000/E399) + (1000/G399))),2)</f>
      </c>
      <c r="J399" s="3">
        <f>=ROUND((1000/((1000/F399) + (1000/G399))),2)</f>
      </c>
    </row>
    <row r="400">
      <c r="A400" s="2" t="str">
        <v>01/05 ВС</v>
      </c>
      <c r="B400" s="2" t="str">
        <v>14:00</v>
      </c>
      <c r="C400" s="2" t="str">
        <v>ИСПАНИЯ ИСПАНИЯ</v>
      </c>
      <c r="D400" s="2" t="str">
        <v>Мелилла-Пуэртольяно</v>
      </c>
      <c r="E400" s="3">
        <f>-</f>
      </c>
      <c r="F400" s="3">
        <f>-</f>
      </c>
      <c r="G400" s="3">
        <f>-</f>
      </c>
      <c r="H400" s="3">
        <f>=ROUND((1000/((1000/E400) + (1000/f400))),2)</f>
      </c>
      <c r="I400" s="3">
        <f>=ROUND((1000/((1000/E400) + (1000/G400))),2)</f>
      </c>
      <c r="J400" s="3">
        <f>=ROUND((1000/((1000/F400) + (1000/G400))),2)</f>
      </c>
    </row>
    <row r="401">
      <c r="A401" s="2" t="str">
        <v>01/05 ВС</v>
      </c>
      <c r="B401" s="2" t="str">
        <v>14:00</v>
      </c>
      <c r="C401" s="2" t="str">
        <v>ИСПАНИЯ ИСПАНИЯ</v>
      </c>
      <c r="D401" s="2" t="str">
        <v>Сокуэльямос-Алсира</v>
      </c>
      <c r="E401" s="3">
        <f>-</f>
      </c>
      <c r="F401" s="3">
        <f>-</f>
      </c>
      <c r="G401" s="3">
        <f>-</f>
      </c>
      <c r="H401" s="3">
        <f>=ROUND((1000/((1000/E401) + (1000/f401))),2)</f>
      </c>
      <c r="I401" s="3">
        <f>=ROUND((1000/((1000/E401) + (1000/G401))),2)</f>
      </c>
      <c r="J401" s="3">
        <f>=ROUND((1000/((1000/F401) + (1000/G401))),2)</f>
      </c>
    </row>
    <row r="402">
      <c r="A402" s="2" t="str">
        <v>01/05 ВС</v>
      </c>
      <c r="B402" s="2" t="str">
        <v>19:30</v>
      </c>
      <c r="C402" s="2" t="str">
        <v>ИСПАНИЯ ИСПАНИЯ</v>
      </c>
      <c r="D402" s="2" t="str">
        <v>Мурсия-Агилас</v>
      </c>
      <c r="E402" s="3">
        <f>-</f>
      </c>
      <c r="F402" s="3">
        <f>-</f>
      </c>
      <c r="G402" s="3">
        <f>-</f>
      </c>
      <c r="H402" s="3">
        <f>=ROUND((1000/((1000/E402) + (1000/f402))),2)</f>
      </c>
      <c r="I402" s="3">
        <f>=ROUND((1000/((1000/E402) + (1000/G402))),2)</f>
      </c>
      <c r="J402" s="3">
        <f>=ROUND((1000/((1000/F402) + (1000/G402))),2)</f>
      </c>
    </row>
    <row r="403">
      <c r="A403" s="2" t="str">
        <v>01/05 ВС</v>
      </c>
      <c r="B403" s="2" t="str">
        <v>20:00</v>
      </c>
      <c r="C403" s="2" t="str">
        <v>ИСПАНИЯ ИСПАНИЯ</v>
      </c>
      <c r="D403" s="2" t="str">
        <v>Эльденсе-Толедо</v>
      </c>
      <c r="E403" s="3">
        <f>-</f>
      </c>
      <c r="F403" s="3">
        <f>-</f>
      </c>
      <c r="G403" s="3">
        <f>-</f>
      </c>
      <c r="H403" s="3">
        <f>=ROUND((1000/((1000/E403) + (1000/f403))),2)</f>
      </c>
      <c r="I403" s="3">
        <f>=ROUND((1000/((1000/E403) + (1000/G403))),2)</f>
      </c>
      <c r="J403" s="3">
        <f>=ROUND((1000/((1000/F403) + (1000/G403))),2)</f>
      </c>
    </row>
    <row r="404">
      <c r="A404" s="2" t="str">
        <v>01/05 ВС</v>
      </c>
      <c r="B404" s="2" t="str">
        <v>20:00</v>
      </c>
      <c r="C404" s="2" t="str">
        <v>ИСПАНИЯ ИСПАНИЯ</v>
      </c>
      <c r="D404" s="2" t="str">
        <v>Эркулес-Манча</v>
      </c>
      <c r="E404" s="3">
        <f>-</f>
      </c>
      <c r="F404" s="3">
        <f>-</f>
      </c>
      <c r="G404" s="3">
        <f>-</f>
      </c>
      <c r="H404" s="3">
        <f>=ROUND((1000/((1000/E404) + (1000/f404))),2)</f>
      </c>
      <c r="I404" s="3">
        <f>=ROUND((1000/((1000/E404) + (1000/G404))),2)</f>
      </c>
      <c r="J404" s="3">
        <f>=ROUND((1000/((1000/F404) + (1000/G404))),2)</f>
      </c>
    </row>
    <row r="405">
      <c r="A405" s="2" t="str">
        <v>01/05 ВС</v>
      </c>
      <c r="B405" s="2" t="str">
        <v>20:00</v>
      </c>
      <c r="C405" s="2" t="str">
        <v>ИСПАНИЯ ИСПАНИЯ</v>
      </c>
      <c r="D405" s="2" t="str">
        <v>Эхидо-Гранада (Б)</v>
      </c>
      <c r="E405" s="3">
        <f>-</f>
      </c>
      <c r="F405" s="3">
        <f>-</f>
      </c>
      <c r="G405" s="3">
        <f>-</f>
      </c>
      <c r="H405" s="3">
        <f>=ROUND((1000/((1000/E405) + (1000/f405))),2)</f>
      </c>
      <c r="I405" s="3">
        <f>=ROUND((1000/((1000/E405) + (1000/G405))),2)</f>
      </c>
      <c r="J405" s="3">
        <f>=ROUND((1000/((1000/F405) + (1000/G405))),2)</f>
      </c>
    </row>
    <row r="406">
      <c r="A406" s="2" t="str">
        <v>01/05 ВС</v>
      </c>
      <c r="B406" s="2" t="str">
        <v>21:00</v>
      </c>
      <c r="C406" s="2" t="str">
        <v>ИСПАНИЯ ИСПАНИЯ</v>
      </c>
      <c r="D406" s="2" t="str">
        <v>Ла-Нусия-Марчамало</v>
      </c>
      <c r="E406" s="3">
        <f>-</f>
      </c>
      <c r="F406" s="3">
        <f>-</f>
      </c>
      <c r="G406" s="3">
        <f>-</f>
      </c>
      <c r="H406" s="3">
        <f>=ROUND((1000/((1000/E406) + (1000/f406))),2)</f>
      </c>
      <c r="I406" s="3">
        <f>=ROUND((1000/((1000/E406) + (1000/G406))),2)</f>
      </c>
      <c r="J406" s="3">
        <f>=ROUND((1000/((1000/F406) + (1000/G406))),2)</f>
      </c>
    </row>
    <row r="407">
      <c r="A407" s="2" t="str">
        <v>01/05 ВС</v>
      </c>
      <c r="B407" s="2" t="str">
        <v>14:00</v>
      </c>
      <c r="C407" s="2" t="str">
        <v>ИСПАНИЯ ИСПАНИЯ</v>
      </c>
      <c r="D407" s="2" t="str">
        <v>Оренсе-Депортиво Фабриль</v>
      </c>
      <c r="E407" s="3">
        <f>-</f>
      </c>
      <c r="F407" s="3">
        <f>-</f>
      </c>
      <c r="G407" s="3">
        <f>-</f>
      </c>
      <c r="H407" s="3">
        <f>=ROUND((1000/((1000/E407) + (1000/f407))),2)</f>
      </c>
      <c r="I407" s="3">
        <f>=ROUND((1000/((1000/E407) + (1000/G407))),2)</f>
      </c>
      <c r="J407" s="3">
        <f>=ROUND((1000/((1000/F407) + (1000/G407))),2)</f>
      </c>
    </row>
    <row r="408">
      <c r="A408" s="2" t="str">
        <v>01/05 ВС</v>
      </c>
      <c r="B408" s="2" t="str">
        <v>20:45</v>
      </c>
      <c r="C408" s="2" t="str">
        <v>ИСПАНИЯ ИСПАНИЯ</v>
      </c>
      <c r="D408" s="2" t="str">
        <v>Сомосас-Барко</v>
      </c>
      <c r="E408" s="3">
        <f>-</f>
      </c>
      <c r="F408" s="3">
        <f>-</f>
      </c>
      <c r="G408" s="3">
        <f>-</f>
      </c>
      <c r="H408" s="3">
        <f>=ROUND((1000/((1000/E408) + (1000/f408))),2)</f>
      </c>
      <c r="I408" s="3">
        <f>=ROUND((1000/((1000/E408) + (1000/G408))),2)</f>
      </c>
      <c r="J408" s="3">
        <f>=ROUND((1000/((1000/F408) + (1000/G408))),2)</f>
      </c>
    </row>
    <row r="409" xml:space="preserve">
      <c r="A409" s="2" t="str">
        <v>01/05 ВС</v>
      </c>
      <c r="B409" s="2" t="str" xml:space="preserve">
        <v xml:space="preserve">19:00_x000d_
TKP</v>
      </c>
      <c r="C409" s="2" t="str">
        <v>ИСПАНИЯ ИСПАНИЯ</v>
      </c>
      <c r="D409" s="2" t="str">
        <v>Басико Уррака-Леалтад</v>
      </c>
      <c r="E409" s="3">
        <f>-</f>
      </c>
      <c r="F409" s="3">
        <f>-</f>
      </c>
      <c r="G409" s="3">
        <f>-</f>
      </c>
      <c r="H409" s="3">
        <f>=ROUND((1000/((1000/E409) + (1000/f409))),2)</f>
      </c>
      <c r="I409" s="3">
        <f>=ROUND((1000/((1000/E409) + (1000/G409))),2)</f>
      </c>
      <c r="J409" s="3">
        <f>=ROUND((1000/((1000/F409) + (1000/G409))),2)</f>
      </c>
    </row>
    <row r="410" xml:space="preserve">
      <c r="A410" s="2" t="str">
        <v>01/05 ВС</v>
      </c>
      <c r="B410" s="2" t="str" xml:space="preserve">
        <v xml:space="preserve">19:00_x000d_
TKP</v>
      </c>
      <c r="C410" s="2" t="str">
        <v>ИСПАНИЯ ИСПАНИЯ</v>
      </c>
      <c r="D410" s="2" t="str">
        <v>Ковадонга-Льянес</v>
      </c>
      <c r="E410" s="3">
        <f>-</f>
      </c>
      <c r="F410" s="3">
        <f>-</f>
      </c>
      <c r="G410" s="3">
        <f>-</f>
      </c>
      <c r="H410" s="3">
        <f>=ROUND((1000/((1000/E410) + (1000/f410))),2)</f>
      </c>
      <c r="I410" s="3">
        <f>=ROUND((1000/((1000/E410) + (1000/G410))),2)</f>
      </c>
      <c r="J410" s="3">
        <f>=ROUND((1000/((1000/F410) + (1000/G410))),2)</f>
      </c>
    </row>
    <row r="411" xml:space="preserve">
      <c r="A411" s="2" t="str">
        <v>01/05 ВС</v>
      </c>
      <c r="B411" s="2" t="str" xml:space="preserve">
        <v xml:space="preserve">19:00_x000d_
TKP</v>
      </c>
      <c r="C411" s="2" t="str">
        <v>ИСПАНИЯ ИСПАНИЯ</v>
      </c>
      <c r="D411" s="2" t="str">
        <v>Лененсе-Спортинг (Б)</v>
      </c>
      <c r="E411" s="3">
        <f>-</f>
      </c>
      <c r="F411" s="3">
        <f>-</f>
      </c>
      <c r="G411" s="3">
        <f>-</f>
      </c>
      <c r="H411" s="3">
        <f>=ROUND((1000/((1000/E411) + (1000/f411))),2)</f>
      </c>
      <c r="I411" s="3">
        <f>=ROUND((1000/((1000/E411) + (1000/G411))),2)</f>
      </c>
      <c r="J411" s="3">
        <f>=ROUND((1000/((1000/F411) + (1000/G411))),2)</f>
      </c>
    </row>
    <row r="412" xml:space="preserve">
      <c r="A412" s="2" t="str">
        <v>01/05 ВС</v>
      </c>
      <c r="B412" s="2" t="str" xml:space="preserve">
        <v xml:space="preserve">19:00_x000d_
TKP</v>
      </c>
      <c r="C412" s="2" t="str">
        <v>ИСПАНИЯ ИСПАНИЯ</v>
      </c>
      <c r="D412" s="2" t="str">
        <v>Москония-Саудаль Депортиво</v>
      </c>
      <c r="E412" s="3">
        <f>-</f>
      </c>
      <c r="F412" s="3">
        <f>-</f>
      </c>
      <c r="G412" s="3">
        <f>-</f>
      </c>
      <c r="H412" s="3">
        <f>=ROUND((1000/((1000/E412) + (1000/f412))),2)</f>
      </c>
      <c r="I412" s="3">
        <f>=ROUND((1000/((1000/E412) + (1000/G412))),2)</f>
      </c>
      <c r="J412" s="3">
        <f>=ROUND((1000/((1000/F412) + (1000/G412))),2)</f>
      </c>
    </row>
    <row r="413" xml:space="preserve">
      <c r="A413" s="2" t="str">
        <v>01/05 ВС</v>
      </c>
      <c r="B413" s="2" t="str" xml:space="preserve">
        <v xml:space="preserve">19:00_x000d_
TKP</v>
      </c>
      <c r="C413" s="2" t="str">
        <v>ИСПАНИЯ ИСПАНИЯ</v>
      </c>
      <c r="D413" s="2" t="str">
        <v>Правиано-Эль-Энтрего</v>
      </c>
      <c r="E413" s="3">
        <f>-</f>
      </c>
      <c r="F413" s="3">
        <f>-</f>
      </c>
      <c r="G413" s="3">
        <f>-</f>
      </c>
      <c r="H413" s="3">
        <f>=ROUND((1000/((1000/E413) + (1000/f413))),2)</f>
      </c>
      <c r="I413" s="3">
        <f>=ROUND((1000/((1000/E413) + (1000/G413))),2)</f>
      </c>
      <c r="J413" s="3">
        <f>=ROUND((1000/((1000/F413) + (1000/G413))),2)</f>
      </c>
    </row>
    <row r="414" xml:space="preserve">
      <c r="A414" s="2" t="str">
        <v>01/05 ВС</v>
      </c>
      <c r="B414" s="2" t="str" xml:space="preserve">
        <v xml:space="preserve">19:00_x000d_
TKP</v>
      </c>
      <c r="C414" s="2" t="str">
        <v>ИСПАНИЯ ИСПАНИЯ</v>
      </c>
      <c r="D414" s="2" t="str">
        <v>Реал Овьедо (Б)-Колунга</v>
      </c>
      <c r="E414" s="3">
        <f>-</f>
      </c>
      <c r="F414" s="3">
        <f>-</f>
      </c>
      <c r="G414" s="3">
        <f>-</f>
      </c>
      <c r="H414" s="3">
        <f>=ROUND((1000/((1000/E414) + (1000/f414))),2)</f>
      </c>
      <c r="I414" s="3">
        <f>=ROUND((1000/((1000/E414) + (1000/G414))),2)</f>
      </c>
      <c r="J414" s="3">
        <f>=ROUND((1000/((1000/F414) + (1000/G414))),2)</f>
      </c>
    </row>
    <row r="415" xml:space="preserve">
      <c r="A415" s="2" t="str">
        <v>01/05 ВС</v>
      </c>
      <c r="B415" s="2" t="str" xml:space="preserve">
        <v xml:space="preserve">19:00_x000d_
TKP</v>
      </c>
      <c r="C415" s="2" t="str">
        <v>ИСПАНИЯ ИСПАНИЯ</v>
      </c>
      <c r="D415" s="2" t="str">
        <v>Реал Титанико-Лангрео (Б)</v>
      </c>
      <c r="E415" s="3">
        <f>-</f>
      </c>
      <c r="F415" s="3">
        <f>-</f>
      </c>
      <c r="G415" s="3">
        <f>-</f>
      </c>
      <c r="H415" s="3">
        <f>=ROUND((1000/((1000/E415) + (1000/f415))),2)</f>
      </c>
      <c r="I415" s="3">
        <f>=ROUND((1000/((1000/E415) + (1000/G415))),2)</f>
      </c>
      <c r="J415" s="3">
        <f>=ROUND((1000/((1000/F415) + (1000/G415))),2)</f>
      </c>
    </row>
    <row r="416" xml:space="preserve">
      <c r="A416" s="2" t="str">
        <v>01/05 ВС</v>
      </c>
      <c r="B416" s="2" t="str" xml:space="preserve">
        <v xml:space="preserve">19:00_x000d_
TKP</v>
      </c>
      <c r="C416" s="2" t="str">
        <v>ИСПАНИЯ ИСПАНИЯ</v>
      </c>
      <c r="D416" s="2" t="str">
        <v>Сан-Мартин-Луарка</v>
      </c>
      <c r="E416" s="3">
        <f>-</f>
      </c>
      <c r="F416" s="3">
        <f>-</f>
      </c>
      <c r="G416" s="3">
        <f>-</f>
      </c>
      <c r="H416" s="3">
        <f>=ROUND((1000/((1000/E416) + (1000/f416))),2)</f>
      </c>
      <c r="I416" s="3">
        <f>=ROUND((1000/((1000/E416) + (1000/G416))),2)</f>
      </c>
      <c r="J416" s="3">
        <f>=ROUND((1000/((1000/F416) + (1000/G416))),2)</f>
      </c>
    </row>
    <row r="417" xml:space="preserve">
      <c r="A417" s="2" t="str">
        <v>01/05 ВС</v>
      </c>
      <c r="B417" s="2" t="str" xml:space="preserve">
        <v xml:space="preserve">19:00_x000d_
TKP</v>
      </c>
      <c r="C417" s="2" t="str">
        <v>ИСПАНИЯ ИСПАНИЯ</v>
      </c>
      <c r="D417" s="2" t="str">
        <v>Хихон Индустриаль-Туилья</v>
      </c>
      <c r="E417" s="3">
        <f>-</f>
      </c>
      <c r="F417" s="3">
        <f>-</f>
      </c>
      <c r="G417" s="3">
        <f>-</f>
      </c>
      <c r="H417" s="3">
        <f>=ROUND((1000/((1000/E417) + (1000/f417))),2)</f>
      </c>
      <c r="I417" s="3">
        <f>=ROUND((1000/((1000/E417) + (1000/G417))),2)</f>
      </c>
      <c r="J417" s="3">
        <f>=ROUND((1000/((1000/F417) + (1000/G417))),2)</f>
      </c>
    </row>
    <row r="418" xml:space="preserve">
      <c r="A418" s="2" t="str">
        <v>01/05 ВС</v>
      </c>
      <c r="B418" s="2" t="str" xml:space="preserve">
        <v xml:space="preserve">20:00_x000d_
TKP</v>
      </c>
      <c r="C418" s="2" t="str">
        <v>ИСПАНИЯ ИСПАНИЯ</v>
      </c>
      <c r="D418" s="2" t="str">
        <v>Аско-Грама</v>
      </c>
      <c r="E418" s="3">
        <f>-</f>
      </c>
      <c r="F418" s="3">
        <f>-</f>
      </c>
      <c r="G418" s="3">
        <f>-</f>
      </c>
      <c r="H418" s="3">
        <f>=ROUND((1000/((1000/E418) + (1000/f418))),2)</f>
      </c>
      <c r="I418" s="3">
        <f>=ROUND((1000/((1000/E418) + (1000/G418))),2)</f>
      </c>
      <c r="J418" s="3">
        <f>=ROUND((1000/((1000/F418) + (1000/G418))),2)</f>
      </c>
    </row>
    <row r="419" xml:space="preserve">
      <c r="A419" s="2" t="str">
        <v>01/05 ВС</v>
      </c>
      <c r="B419" s="2" t="str" xml:space="preserve">
        <v xml:space="preserve">20:00_x000d_
TKP</v>
      </c>
      <c r="C419" s="2" t="str">
        <v>ИСПАНИЯ ИСПАНИЯ</v>
      </c>
      <c r="D419" s="2" t="str">
        <v>Вилассар-де-Мар-Кастельдефельс</v>
      </c>
      <c r="E419" s="3">
        <f>-</f>
      </c>
      <c r="F419" s="3">
        <f>-</f>
      </c>
      <c r="G419" s="3">
        <f>-</f>
      </c>
      <c r="H419" s="3">
        <f>=ROUND((1000/((1000/E419) + (1000/f419))),2)</f>
      </c>
      <c r="I419" s="3">
        <f>=ROUND((1000/((1000/E419) + (1000/G419))),2)</f>
      </c>
      <c r="J419" s="3">
        <f>=ROUND((1000/((1000/F419) + (1000/G419))),2)</f>
      </c>
    </row>
    <row r="420" xml:space="preserve">
      <c r="A420" s="2" t="str">
        <v>01/05 ВС</v>
      </c>
      <c r="B420" s="2" t="str" xml:space="preserve">
        <v xml:space="preserve">20:00_x000d_
TKP</v>
      </c>
      <c r="C420" s="2" t="str">
        <v>ИСПАНИЯ ИСПАНИЯ</v>
      </c>
      <c r="D420" s="2" t="str">
        <v>Гинеуэта-Сан-Кристобаль</v>
      </c>
      <c r="E420" s="3">
        <f>-</f>
      </c>
      <c r="F420" s="3">
        <f>-</f>
      </c>
      <c r="G420" s="3">
        <f>-</f>
      </c>
      <c r="H420" s="3">
        <f>=ROUND((1000/((1000/E420) + (1000/f420))),2)</f>
      </c>
      <c r="I420" s="3">
        <f>=ROUND((1000/((1000/E420) + (1000/G420))),2)</f>
      </c>
      <c r="J420" s="3">
        <f>=ROUND((1000/((1000/F420) + (1000/G420))),2)</f>
      </c>
    </row>
    <row r="421" xml:space="preserve">
      <c r="A421" s="2" t="str">
        <v>01/05 ВС</v>
      </c>
      <c r="B421" s="2" t="str" xml:space="preserve">
        <v xml:space="preserve">20:00_x000d_
TKP</v>
      </c>
      <c r="C421" s="2" t="str">
        <v>ИСПАНИЯ ИСПАНИЯ</v>
      </c>
      <c r="D421" s="2" t="str">
        <v>Гранольерс-Побла Мафумет</v>
      </c>
      <c r="E421" s="3">
        <f>-</f>
      </c>
      <c r="F421" s="3">
        <f>-</f>
      </c>
      <c r="G421" s="3">
        <f>-</f>
      </c>
      <c r="H421" s="3">
        <f>=ROUND((1000/((1000/E421) + (1000/f421))),2)</f>
      </c>
      <c r="I421" s="3">
        <f>=ROUND((1000/((1000/E421) + (1000/G421))),2)</f>
      </c>
      <c r="J421" s="3">
        <f>=ROUND((1000/((1000/F421) + (1000/G421))),2)</f>
      </c>
    </row>
    <row r="422" xml:space="preserve">
      <c r="A422" s="2" t="str">
        <v>01/05 ВС</v>
      </c>
      <c r="B422" s="2" t="str" xml:space="preserve">
        <v xml:space="preserve">20:00_x000d_
TKP</v>
      </c>
      <c r="C422" s="2" t="str">
        <v>ИСПАНИЯ ИСПАНИЯ</v>
      </c>
      <c r="D422" s="2" t="str">
        <v>Оспиталет-Манреса</v>
      </c>
      <c r="E422" s="3">
        <f>-</f>
      </c>
      <c r="F422" s="3">
        <f>-</f>
      </c>
      <c r="G422" s="3">
        <f>-</f>
      </c>
      <c r="H422" s="3">
        <f>=ROUND((1000/((1000/E422) + (1000/f422))),2)</f>
      </c>
      <c r="I422" s="3">
        <f>=ROUND((1000/((1000/E422) + (1000/G422))),2)</f>
      </c>
      <c r="J422" s="3">
        <f>=ROUND((1000/((1000/F422) + (1000/G422))),2)</f>
      </c>
    </row>
    <row r="423" xml:space="preserve">
      <c r="A423" s="2" t="str">
        <v>01/05 ВС</v>
      </c>
      <c r="B423" s="2" t="str" xml:space="preserve">
        <v xml:space="preserve">20:00_x000d_
TKP</v>
      </c>
      <c r="C423" s="2" t="str">
        <v>ИСПАНИЯ ИСПАНИЯ</v>
      </c>
      <c r="D423" s="2" t="str">
        <v>Пералада-Жирона (Б)</v>
      </c>
      <c r="E423" s="3">
        <f>-</f>
      </c>
      <c r="F423" s="3">
        <f>-</f>
      </c>
      <c r="G423" s="3">
        <f>-</f>
      </c>
      <c r="H423" s="3">
        <f>=ROUND((1000/((1000/E423) + (1000/f423))),2)</f>
      </c>
      <c r="I423" s="3">
        <f>=ROUND((1000/((1000/E423) + (1000/G423))),2)</f>
      </c>
      <c r="J423" s="3">
        <f>=ROUND((1000/((1000/F423) + (1000/G423))),2)</f>
      </c>
    </row>
    <row r="424" xml:space="preserve">
      <c r="A424" s="2" t="str">
        <v>01/05 ВС</v>
      </c>
      <c r="B424" s="2" t="str" xml:space="preserve">
        <v xml:space="preserve">20:00_x000d_
TKP</v>
      </c>
      <c r="C424" s="2" t="str">
        <v>ИСПАНИЯ ИСПАНИЯ</v>
      </c>
      <c r="D424" s="2" t="str">
        <v>Сант-Андрю-Фигерас</v>
      </c>
      <c r="E424" s="3">
        <f>-</f>
      </c>
      <c r="F424" s="3">
        <f>-</f>
      </c>
      <c r="G424" s="3">
        <f>-</f>
      </c>
      <c r="H424" s="3">
        <f>=ROUND((1000/((1000/E424) + (1000/f424))),2)</f>
      </c>
      <c r="I424" s="3">
        <f>=ROUND((1000/((1000/E424) + (1000/G424))),2)</f>
      </c>
      <c r="J424" s="3">
        <f>=ROUND((1000/((1000/F424) + (1000/G424))),2)</f>
      </c>
    </row>
    <row r="425" xml:space="preserve">
      <c r="A425" s="2" t="str">
        <v>01/05 ВС</v>
      </c>
      <c r="B425" s="2" t="str" xml:space="preserve">
        <v xml:space="preserve">20:00_x000d_
TKP</v>
      </c>
      <c r="C425" s="2" t="str">
        <v>ИСПАНИЯ ИСПАНИЯ</v>
      </c>
      <c r="D425" s="2" t="str">
        <v>УЕ Сантс-Вильяфранка</v>
      </c>
      <c r="E425" s="3">
        <f>-</f>
      </c>
      <c r="F425" s="3">
        <f>-</f>
      </c>
      <c r="G425" s="3">
        <f>-</f>
      </c>
      <c r="H425" s="3">
        <f>=ROUND((1000/((1000/E425) + (1000/f425))),2)</f>
      </c>
      <c r="I425" s="3">
        <f>=ROUND((1000/((1000/E425) + (1000/G425))),2)</f>
      </c>
      <c r="J425" s="3">
        <f>=ROUND((1000/((1000/F425) + (1000/G425))),2)</f>
      </c>
    </row>
    <row r="426" xml:space="preserve">
      <c r="A426" s="2" t="str">
        <v>01/05 ВС</v>
      </c>
      <c r="B426" s="2" t="str" xml:space="preserve">
        <v xml:space="preserve">20:00_x000d_
TKP</v>
      </c>
      <c r="C426" s="2" t="str">
        <v>ИСПАНИЯ ИСПАНИЯ</v>
      </c>
      <c r="D426" s="2" t="str">
        <v>Адзанета-Торрент</v>
      </c>
      <c r="E426" s="3">
        <f>-</f>
      </c>
      <c r="F426" s="3">
        <f>-</f>
      </c>
      <c r="G426" s="3">
        <f>-</f>
      </c>
      <c r="H426" s="3">
        <f>=ROUND((1000/((1000/E426) + (1000/f426))),2)</f>
      </c>
      <c r="I426" s="3">
        <f>=ROUND((1000/((1000/E426) + (1000/G426))),2)</f>
      </c>
      <c r="J426" s="3">
        <f>=ROUND((1000/((1000/F426) + (1000/G426))),2)</f>
      </c>
    </row>
    <row r="427" xml:space="preserve">
      <c r="A427" s="2" t="str">
        <v>01/05 ВС</v>
      </c>
      <c r="B427" s="2" t="str" xml:space="preserve">
        <v xml:space="preserve">20:00_x000d_
TKP</v>
      </c>
      <c r="C427" s="2" t="str">
        <v>ИСПАНИЯ ИСПАНИЯ</v>
      </c>
      <c r="D427" s="2" t="str">
        <v>Илиситано-Асеро</v>
      </c>
      <c r="E427" s="3">
        <f>-</f>
      </c>
      <c r="F427" s="3">
        <f>-</f>
      </c>
      <c r="G427" s="3">
        <f>-</f>
      </c>
      <c r="H427" s="3">
        <f>=ROUND((1000/((1000/E427) + (1000/f427))),2)</f>
      </c>
      <c r="I427" s="3">
        <f>=ROUND((1000/((1000/E427) + (1000/G427))),2)</f>
      </c>
      <c r="J427" s="3">
        <f>=ROUND((1000/((1000/F427) + (1000/G427))),2)</f>
      </c>
    </row>
    <row r="428" xml:space="preserve">
      <c r="A428" s="2" t="str">
        <v>01/05 ВС</v>
      </c>
      <c r="B428" s="2" t="str" xml:space="preserve">
        <v xml:space="preserve">20:00_x000d_
TKP</v>
      </c>
      <c r="C428" s="2" t="str">
        <v>ИСПАНИЯ ИСПАНИЯ</v>
      </c>
      <c r="D428" s="2" t="str">
        <v>Олимпик Хатива-Ориуэла</v>
      </c>
      <c r="E428" s="3">
        <f>-</f>
      </c>
      <c r="F428" s="3">
        <f>-</f>
      </c>
      <c r="G428" s="3">
        <f>-</f>
      </c>
      <c r="H428" s="3">
        <f>=ROUND((1000/((1000/E428) + (1000/f428))),2)</f>
      </c>
      <c r="I428" s="3">
        <f>=ROUND((1000/((1000/E428) + (1000/G428))),2)</f>
      </c>
      <c r="J428" s="3">
        <f>=ROUND((1000/((1000/F428) + (1000/G428))),2)</f>
      </c>
    </row>
    <row r="429" xml:space="preserve">
      <c r="A429" s="2" t="str">
        <v>01/05 ВС</v>
      </c>
      <c r="B429" s="2" t="str" xml:space="preserve">
        <v xml:space="preserve">20:00_x000d_
TKP</v>
      </c>
      <c r="C429" s="2" t="str">
        <v>ИСПАНИЯ ИСПАНИЯ</v>
      </c>
      <c r="D429" s="2" t="str">
        <v>Рода-Сагунтино</v>
      </c>
      <c r="E429" s="3">
        <f>-</f>
      </c>
      <c r="F429" s="3">
        <f>-</f>
      </c>
      <c r="G429" s="3">
        <f>-</f>
      </c>
      <c r="H429" s="3">
        <f>=ROUND((1000/((1000/E429) + (1000/f429))),2)</f>
      </c>
      <c r="I429" s="3">
        <f>=ROUND((1000/((1000/E429) + (1000/G429))),2)</f>
      </c>
      <c r="J429" s="3">
        <f>=ROUND((1000/((1000/F429) + (1000/G429))),2)</f>
      </c>
    </row>
    <row r="430" xml:space="preserve">
      <c r="A430" s="2" t="str">
        <v>01/05 ВС</v>
      </c>
      <c r="B430" s="2" t="str" xml:space="preserve">
        <v xml:space="preserve">20:00_x000d_
TKP</v>
      </c>
      <c r="C430" s="2" t="str">
        <v>ИСПАНИЯ ИСПАНИЯ</v>
      </c>
      <c r="D430" s="2" t="str">
        <v>Хове-Кастельон (Б)</v>
      </c>
      <c r="E430" s="3">
        <f>-</f>
      </c>
      <c r="F430" s="3">
        <f>-</f>
      </c>
      <c r="G430" s="3">
        <f>-</f>
      </c>
      <c r="H430" s="3">
        <f>=ROUND((1000/((1000/E430) + (1000/f430))),2)</f>
      </c>
      <c r="I430" s="3">
        <f>=ROUND((1000/((1000/E430) + (1000/G430))),2)</f>
      </c>
      <c r="J430" s="3">
        <f>=ROUND((1000/((1000/F430) + (1000/G430))),2)</f>
      </c>
    </row>
    <row r="431" xml:space="preserve">
      <c r="A431" s="2" t="str">
        <v>01/05 ВС</v>
      </c>
      <c r="B431" s="2" t="str" xml:space="preserve">
        <v xml:space="preserve">14:00_x000d_
TKP</v>
      </c>
      <c r="C431" s="2" t="str">
        <v>ИСПАНИЯ ИСПАНИЯ</v>
      </c>
      <c r="D431" s="2" t="str">
        <v>Алкала Херанес-Вильявисьоса</v>
      </c>
      <c r="E431" s="3">
        <f>-</f>
      </c>
      <c r="F431" s="3">
        <f>-</f>
      </c>
      <c r="G431" s="3">
        <f>-</f>
      </c>
      <c r="H431" s="3">
        <f>=ROUND((1000/((1000/E431) + (1000/f431))),2)</f>
      </c>
      <c r="I431" s="3">
        <f>=ROUND((1000/((1000/E431) + (1000/G431))),2)</f>
      </c>
      <c r="J431" s="3">
        <f>=ROUND((1000/((1000/F431) + (1000/G431))),2)</f>
      </c>
    </row>
    <row r="432" xml:space="preserve">
      <c r="A432" s="2" t="str">
        <v>01/05 ВС</v>
      </c>
      <c r="B432" s="2" t="str" xml:space="preserve">
        <v xml:space="preserve">14:00_x000d_
TKP</v>
      </c>
      <c r="C432" s="2" t="str">
        <v>ИСПАНИЯ ИСПАНИЯ</v>
      </c>
      <c r="D432" s="2" t="str">
        <v>Алькоркон (Б)-Трес Кантос</v>
      </c>
      <c r="E432" s="3">
        <f>-</f>
      </c>
      <c r="F432" s="3">
        <f>-</f>
      </c>
      <c r="G432" s="3">
        <f>-</f>
      </c>
      <c r="H432" s="3">
        <f>=ROUND((1000/((1000/E432) + (1000/f432))),2)</f>
      </c>
      <c r="I432" s="3">
        <f>=ROUND((1000/((1000/E432) + (1000/G432))),2)</f>
      </c>
      <c r="J432" s="3">
        <f>=ROUND((1000/((1000/F432) + (1000/G432))),2)</f>
      </c>
    </row>
    <row r="433" xml:space="preserve">
      <c r="A433" s="2" t="str">
        <v>01/05 ВС</v>
      </c>
      <c r="B433" s="2" t="str" xml:space="preserve">
        <v xml:space="preserve">14:00_x000d_
TKP</v>
      </c>
      <c r="C433" s="2" t="str">
        <v>ИСПАНИЯ ИСПАНИЯ</v>
      </c>
      <c r="D433" s="2" t="str">
        <v>Атлетико (Б)-СДЕ Мадрид</v>
      </c>
      <c r="E433" s="3">
        <f>-</f>
      </c>
      <c r="F433" s="3">
        <f>-</f>
      </c>
      <c r="G433" s="3">
        <f>-</f>
      </c>
      <c r="H433" s="3">
        <f>=ROUND((1000/((1000/E433) + (1000/f433))),2)</f>
      </c>
      <c r="I433" s="3">
        <f>=ROUND((1000/((1000/E433) + (1000/G433))),2)</f>
      </c>
      <c r="J433" s="3">
        <f>=ROUND((1000/((1000/F433) + (1000/G433))),2)</f>
      </c>
    </row>
    <row r="434" xml:space="preserve">
      <c r="A434" s="2" t="str">
        <v>01/05 ВС</v>
      </c>
      <c r="B434" s="2" t="str" xml:space="preserve">
        <v xml:space="preserve">14:00_x000d_
TKP</v>
      </c>
      <c r="C434" s="2" t="str">
        <v>ИСПАНИЯ ИСПАНИЯ</v>
      </c>
      <c r="D434" s="2" t="str">
        <v>Карабанчель-Урсария</v>
      </c>
      <c r="E434" s="3">
        <f>-</f>
      </c>
      <c r="F434" s="3">
        <f>-</f>
      </c>
      <c r="G434" s="3">
        <f>-</f>
      </c>
      <c r="H434" s="3">
        <f>=ROUND((1000/((1000/E434) + (1000/f434))),2)</f>
      </c>
      <c r="I434" s="3">
        <f>=ROUND((1000/((1000/E434) + (1000/G434))),2)</f>
      </c>
      <c r="J434" s="3">
        <f>=ROUND((1000/((1000/F434) + (1000/G434))),2)</f>
      </c>
    </row>
    <row r="435" xml:space="preserve">
      <c r="A435" s="2" t="str">
        <v>01/05 ВС</v>
      </c>
      <c r="B435" s="2" t="str" xml:space="preserve">
        <v xml:space="preserve">14:00_x000d_
TKP</v>
      </c>
      <c r="C435" s="2" t="str">
        <v>ИСПАНИЯ ИСПАНИЯ</v>
      </c>
      <c r="D435" s="2" t="str">
        <v>Колония-Парла</v>
      </c>
      <c r="E435" s="3">
        <f>-</f>
      </c>
      <c r="F435" s="3">
        <f>-</f>
      </c>
      <c r="G435" s="3">
        <f>-</f>
      </c>
      <c r="H435" s="3">
        <f>=ROUND((1000/((1000/E435) + (1000/f435))),2)</f>
      </c>
      <c r="I435" s="3">
        <f>=ROUND((1000/((1000/E435) + (1000/G435))),2)</f>
      </c>
      <c r="J435" s="3">
        <f>=ROUND((1000/((1000/F435) + (1000/G435))),2)</f>
      </c>
    </row>
    <row r="436" xml:space="preserve">
      <c r="A436" s="2" t="str">
        <v>01/05 ВС</v>
      </c>
      <c r="B436" s="2" t="str" xml:space="preserve">
        <v xml:space="preserve">14:00_x000d_
TKP</v>
      </c>
      <c r="C436" s="2" t="str">
        <v>ИСПАНИЯ ИСПАНИЯ</v>
      </c>
      <c r="D436" s="2" t="str">
        <v>Комплутенсе-Мораталас</v>
      </c>
      <c r="E436" s="3">
        <f>-</f>
      </c>
      <c r="F436" s="3">
        <f>-</f>
      </c>
      <c r="G436" s="3">
        <f>-</f>
      </c>
      <c r="H436" s="3">
        <f>=ROUND((1000/((1000/E436) + (1000/f436))),2)</f>
      </c>
      <c r="I436" s="3">
        <f>=ROUND((1000/((1000/E436) + (1000/G436))),2)</f>
      </c>
      <c r="J436" s="3">
        <f>=ROUND((1000/((1000/F436) + (1000/G436))),2)</f>
      </c>
    </row>
    <row r="437" xml:space="preserve">
      <c r="A437" s="2" t="str">
        <v>01/05 ВС</v>
      </c>
      <c r="B437" s="2" t="str" xml:space="preserve">
        <v xml:space="preserve">14:00_x000d_
TKP</v>
      </c>
      <c r="C437" s="2" t="str">
        <v>ИСПАНИЯ ИСПАНИЯ</v>
      </c>
      <c r="D437" s="2" t="str">
        <v>Лас-Росас-Хетафе (Б)</v>
      </c>
      <c r="E437" s="3">
        <f>-</f>
      </c>
      <c r="F437" s="3">
        <f>-</f>
      </c>
      <c r="G437" s="3">
        <f>-</f>
      </c>
      <c r="H437" s="3">
        <f>=ROUND((1000/((1000/E437) + (1000/f437))),2)</f>
      </c>
      <c r="I437" s="3">
        <f>=ROUND((1000/((1000/E437) + (1000/G437))),2)</f>
      </c>
      <c r="J437" s="3">
        <f>=ROUND((1000/((1000/F437) + (1000/G437))),2)</f>
      </c>
    </row>
    <row r="438" xml:space="preserve">
      <c r="A438" s="2" t="str">
        <v>01/05 ВС</v>
      </c>
      <c r="B438" s="2" t="str" xml:space="preserve">
        <v xml:space="preserve">14:00_x000d_
TKP</v>
      </c>
      <c r="C438" s="2" t="str">
        <v>ИСПАНИЯ ИСПАНИЯ</v>
      </c>
      <c r="D438" s="2" t="str">
        <v>Паракуэльос Антамира-Вильяверде Сан-Андрес</v>
      </c>
      <c r="E438" s="3">
        <f>-</f>
      </c>
      <c r="F438" s="3">
        <f>-</f>
      </c>
      <c r="G438" s="3">
        <f>-</f>
      </c>
      <c r="H438" s="3">
        <f>=ROUND((1000/((1000/E438) + (1000/f438))),2)</f>
      </c>
      <c r="I438" s="3">
        <f>=ROUND((1000/((1000/E438) + (1000/G438))),2)</f>
      </c>
      <c r="J438" s="3">
        <f>=ROUND((1000/((1000/F438) + (1000/G438))),2)</f>
      </c>
    </row>
    <row r="439" xml:space="preserve">
      <c r="A439" s="2" t="str">
        <v>01/05 ВС</v>
      </c>
      <c r="B439" s="2" t="str" xml:space="preserve">
        <v xml:space="preserve">14:00_x000d_
TKP</v>
      </c>
      <c r="C439" s="2" t="str">
        <v>ИСПАНИЯ ИСПАНИЯ</v>
      </c>
      <c r="D439" s="2" t="str">
        <v>Райо Вальекано (Б)-Тривал Вальдерас</v>
      </c>
      <c r="E439" s="3">
        <f>-</f>
      </c>
      <c r="F439" s="3">
        <f>-</f>
      </c>
      <c r="G439" s="3">
        <f>-</f>
      </c>
      <c r="H439" s="3">
        <f>=ROUND((1000/((1000/E439) + (1000/f439))),2)</f>
      </c>
      <c r="I439" s="3">
        <f>=ROUND((1000/((1000/E439) + (1000/G439))),2)</f>
      </c>
      <c r="J439" s="3">
        <f>=ROUND((1000/((1000/F439) + (1000/G439))),2)</f>
      </c>
    </row>
    <row r="440" xml:space="preserve">
      <c r="A440" s="2" t="str">
        <v>01/05 ВС</v>
      </c>
      <c r="B440" s="2" t="str" xml:space="preserve">
        <v xml:space="preserve">14:00_x000d_
TKP</v>
      </c>
      <c r="C440" s="2" t="str">
        <v>ИСПАНИЯ ИСПАНИЯ</v>
      </c>
      <c r="D440" s="2" t="str">
        <v>Торрехон-Галапагар</v>
      </c>
      <c r="E440" s="3">
        <f>-</f>
      </c>
      <c r="F440" s="3">
        <f>-</f>
      </c>
      <c r="G440" s="3">
        <f>-</f>
      </c>
      <c r="H440" s="3">
        <f>=ROUND((1000/((1000/E440) + (1000/f440))),2)</f>
      </c>
      <c r="I440" s="3">
        <f>=ROUND((1000/((1000/E440) + (1000/G440))),2)</f>
      </c>
      <c r="J440" s="3">
        <f>=ROUND((1000/((1000/F440) + (1000/G440))),2)</f>
      </c>
    </row>
    <row r="441" xml:space="preserve">
      <c r="A441" s="2" t="str">
        <v>01/05 ВС</v>
      </c>
      <c r="B441" s="2" t="str" xml:space="preserve">
        <v xml:space="preserve">13:30_x000d_
TKP</v>
      </c>
      <c r="C441" s="2" t="str">
        <v>ИСПАНИЯ ИСПАНИЯ</v>
      </c>
      <c r="D441" s="2" t="str">
        <v>Мальорка (Б)-Констанция</v>
      </c>
      <c r="E441" s="3">
        <f>-</f>
      </c>
      <c r="F441" s="3">
        <f>-</f>
      </c>
      <c r="G441" s="3">
        <f>-</f>
      </c>
      <c r="H441" s="3">
        <f>=ROUND((1000/((1000/E441) + (1000/f441))),2)</f>
      </c>
      <c r="I441" s="3">
        <f>=ROUND((1000/((1000/E441) + (1000/G441))),2)</f>
      </c>
      <c r="J441" s="3">
        <f>=ROUND((1000/((1000/F441) + (1000/G441))),2)</f>
      </c>
    </row>
    <row r="442" xml:space="preserve">
      <c r="A442" s="2" t="str">
        <v>01/05 ВС</v>
      </c>
      <c r="B442" s="2" t="str" xml:space="preserve">
        <v xml:space="preserve">18:00_x000d_
TKP</v>
      </c>
      <c r="C442" s="2" t="str">
        <v>ИСПАНИЯ ИСПАНИЯ</v>
      </c>
      <c r="D442" s="2" t="str">
        <v>Биниссалем-Кампос</v>
      </c>
      <c r="E442" s="3">
        <f>-</f>
      </c>
      <c r="F442" s="3">
        <f>-</f>
      </c>
      <c r="G442" s="3">
        <f>-</f>
      </c>
      <c r="H442" s="3">
        <f>=ROUND((1000/((1000/E442) + (1000/f442))),2)</f>
      </c>
      <c r="I442" s="3">
        <f>=ROUND((1000/((1000/E442) + (1000/G442))),2)</f>
      </c>
      <c r="J442" s="3">
        <f>=ROUND((1000/((1000/F442) + (1000/G442))),2)</f>
      </c>
    </row>
    <row r="443" xml:space="preserve">
      <c r="A443" s="2" t="str">
        <v>01/05 ВС</v>
      </c>
      <c r="B443" s="2" t="str" xml:space="preserve">
        <v xml:space="preserve">18:00_x000d_
TKP</v>
      </c>
      <c r="C443" s="2" t="str">
        <v>ИСПАНИЯ ИСПАНИЯ</v>
      </c>
      <c r="D443" s="2" t="str">
        <v>Льостенсе-Интер Ибица</v>
      </c>
      <c r="E443" s="3">
        <f>-</f>
      </c>
      <c r="F443" s="3">
        <f>-</f>
      </c>
      <c r="G443" s="3">
        <f>-</f>
      </c>
      <c r="H443" s="3">
        <f>=ROUND((1000/((1000/E443) + (1000/f443))),2)</f>
      </c>
      <c r="I443" s="3">
        <f>=ROUND((1000/((1000/E443) + (1000/G443))),2)</f>
      </c>
      <c r="J443" s="3">
        <f>=ROUND((1000/((1000/F443) + (1000/G443))),2)</f>
      </c>
    </row>
    <row r="444" xml:space="preserve">
      <c r="A444" s="2" t="str">
        <v>01/05 ВС</v>
      </c>
      <c r="B444" s="2" t="str" xml:space="preserve">
        <v xml:space="preserve">18:00_x000d_
TKP</v>
      </c>
      <c r="C444" s="2" t="str">
        <v>ИСПАНИЯ ИСПАНИЯ</v>
      </c>
      <c r="D444" s="2" t="str">
        <v>Побленсе-Феланич</v>
      </c>
      <c r="E444" s="3">
        <f>-</f>
      </c>
      <c r="F444" s="3">
        <f>-</f>
      </c>
      <c r="G444" s="3">
        <f>-</f>
      </c>
      <c r="H444" s="3">
        <f>=ROUND((1000/((1000/E444) + (1000/f444))),2)</f>
      </c>
      <c r="I444" s="3">
        <f>=ROUND((1000/((1000/E444) + (1000/G444))),2)</f>
      </c>
      <c r="J444" s="3">
        <f>=ROUND((1000/((1000/F444) + (1000/G444))),2)</f>
      </c>
    </row>
    <row r="445" xml:space="preserve">
      <c r="A445" s="2" t="str">
        <v>01/05 ВС</v>
      </c>
      <c r="B445" s="2" t="str" xml:space="preserve">
        <v xml:space="preserve">18:00_x000d_
TKP</v>
      </c>
      <c r="C445" s="2" t="str">
        <v>ИСПАНИЯ ИСПАНИЯ</v>
      </c>
      <c r="D445" s="2" t="str">
        <v>Ротлет Молинар-Сон-Вери</v>
      </c>
      <c r="E445" s="3">
        <f>-</f>
      </c>
      <c r="F445" s="3">
        <f>-</f>
      </c>
      <c r="G445" s="3">
        <f>-</f>
      </c>
      <c r="H445" s="3">
        <f>=ROUND((1000/((1000/E445) + (1000/f445))),2)</f>
      </c>
      <c r="I445" s="3">
        <f>=ROUND((1000/((1000/E445) + (1000/G445))),2)</f>
      </c>
      <c r="J445" s="3">
        <f>=ROUND((1000/((1000/F445) + (1000/G445))),2)</f>
      </c>
    </row>
    <row r="446" xml:space="preserve">
      <c r="A446" s="2" t="str">
        <v>01/05 ВС</v>
      </c>
      <c r="B446" s="2" t="str" xml:space="preserve">
        <v xml:space="preserve">18:00_x000d_
TKP</v>
      </c>
      <c r="C446" s="2" t="str">
        <v>ИСПАНИЯ ИСПАНИЯ</v>
      </c>
      <c r="D446" s="2" t="str">
        <v>Сан-Хорди-Меркадаль</v>
      </c>
      <c r="E446" s="3">
        <f>-</f>
      </c>
      <c r="F446" s="3">
        <f>-</f>
      </c>
      <c r="G446" s="3">
        <f>-</f>
      </c>
      <c r="H446" s="3">
        <f>=ROUND((1000/((1000/E446) + (1000/f446))),2)</f>
      </c>
      <c r="I446" s="3">
        <f>=ROUND((1000/((1000/E446) + (1000/G446))),2)</f>
      </c>
      <c r="J446" s="3">
        <f>=ROUND((1000/((1000/F446) + (1000/G446))),2)</f>
      </c>
    </row>
    <row r="447" xml:space="preserve">
      <c r="A447" s="2" t="str">
        <v>01/05 ВС</v>
      </c>
      <c r="B447" s="2" t="str" xml:space="preserve">
        <v xml:space="preserve">18:00_x000d_
TKP</v>
      </c>
      <c r="C447" s="2" t="str">
        <v>ИСПАНИЯ ИСПАНИЯ</v>
      </c>
      <c r="D447" s="2" t="str">
        <v>Сантаньи-Портмани</v>
      </c>
      <c r="E447" s="3">
        <f>-</f>
      </c>
      <c r="F447" s="3">
        <f>-</f>
      </c>
      <c r="G447" s="3">
        <f>-</f>
      </c>
      <c r="H447" s="3">
        <f>=ROUND((1000/((1000/E447) + (1000/f447))),2)</f>
      </c>
      <c r="I447" s="3">
        <f>=ROUND((1000/((1000/E447) + (1000/G447))),2)</f>
      </c>
      <c r="J447" s="3">
        <f>=ROUND((1000/((1000/F447) + (1000/G447))),2)</f>
      </c>
    </row>
    <row r="448" xml:space="preserve">
      <c r="A448" s="2" t="str">
        <v>01/05 ВС</v>
      </c>
      <c r="B448" s="2" t="str" xml:space="preserve">
        <v xml:space="preserve">18:00_x000d_
TKP</v>
      </c>
      <c r="C448" s="2" t="str">
        <v>ИСПАНИЯ ИСПАНИЯ</v>
      </c>
      <c r="D448" s="2" t="str">
        <v>Сольер-Манакор</v>
      </c>
      <c r="E448" s="3">
        <f>-</f>
      </c>
      <c r="F448" s="3">
        <f>-</f>
      </c>
      <c r="G448" s="3">
        <f>-</f>
      </c>
      <c r="H448" s="3">
        <f>=ROUND((1000/((1000/E448) + (1000/f448))),2)</f>
      </c>
      <c r="I448" s="3">
        <f>=ROUND((1000/((1000/E448) + (1000/G448))),2)</f>
      </c>
      <c r="J448" s="3">
        <f>=ROUND((1000/((1000/F448) + (1000/G448))),2)</f>
      </c>
    </row>
    <row r="449" xml:space="preserve">
      <c r="A449" s="2" t="str">
        <v>01/05 ВС</v>
      </c>
      <c r="B449" s="2" t="str" xml:space="preserve">
        <v xml:space="preserve">18:00_x000d_
TKP</v>
      </c>
      <c r="C449" s="2" t="str">
        <v>ИСПАНИЯ ИСПАНИЯ</v>
      </c>
      <c r="D449" s="2" t="str">
        <v>Sant Rafel-Муренсе</v>
      </c>
      <c r="E449" s="3">
        <f>-</f>
      </c>
      <c r="F449" s="3">
        <f>-</f>
      </c>
      <c r="G449" s="3">
        <f>-</f>
      </c>
      <c r="H449" s="3">
        <f>=ROUND((1000/((1000/E449) + (1000/f449))),2)</f>
      </c>
      <c r="I449" s="3">
        <f>=ROUND((1000/((1000/E449) + (1000/G449))),2)</f>
      </c>
      <c r="J449" s="3">
        <f>=ROUND((1000/((1000/F449) + (1000/G449))),2)</f>
      </c>
    </row>
    <row r="450" xml:space="preserve">
      <c r="A450" s="2" t="str">
        <v>01/05 ВС</v>
      </c>
      <c r="B450" s="2" t="str" xml:space="preserve">
        <v xml:space="preserve">15:00_x000d_
TKP</v>
      </c>
      <c r="C450" s="2" t="str">
        <v>ИСПАНИЯ ИСПАНИЯ</v>
      </c>
      <c r="D450" s="2" t="str">
        <v>Арукас-Санта Урсула</v>
      </c>
      <c r="E450" s="3">
        <f>-</f>
      </c>
      <c r="F450" s="3">
        <f>-</f>
      </c>
      <c r="G450" s="3">
        <f>-</f>
      </c>
      <c r="H450" s="3">
        <f>=ROUND((1000/((1000/E450) + (1000/f450))),2)</f>
      </c>
      <c r="I450" s="3">
        <f>=ROUND((1000/((1000/E450) + (1000/G450))),2)</f>
      </c>
      <c r="J450" s="3">
        <f>=ROUND((1000/((1000/F450) + (1000/G450))),2)</f>
      </c>
    </row>
    <row r="451" xml:space="preserve">
      <c r="A451" s="2" t="str">
        <v>01/05 ВС</v>
      </c>
      <c r="B451" s="2" t="str" xml:space="preserve">
        <v xml:space="preserve">15:00_x000d_
TKP</v>
      </c>
      <c r="C451" s="2" t="str">
        <v>ИСПАНИЯ ИСПАНИЯ</v>
      </c>
      <c r="D451" s="2" t="str">
        <v>Бусанада-Лас-Пальмас C</v>
      </c>
      <c r="E451" s="3">
        <f>-</f>
      </c>
      <c r="F451" s="3">
        <f>-</f>
      </c>
      <c r="G451" s="3">
        <f>-</f>
      </c>
      <c r="H451" s="3">
        <f>=ROUND((1000/((1000/E451) + (1000/f451))),2)</f>
      </c>
      <c r="I451" s="3">
        <f>=ROUND((1000/((1000/E451) + (1000/G451))),2)</f>
      </c>
      <c r="J451" s="3">
        <f>=ROUND((1000/((1000/F451) + (1000/G451))),2)</f>
      </c>
    </row>
    <row r="452" xml:space="preserve">
      <c r="A452" s="2" t="str">
        <v>01/05 ВС</v>
      </c>
      <c r="B452" s="2" t="str" xml:space="preserve">
        <v xml:space="preserve">15:00_x000d_
TKP</v>
      </c>
      <c r="C452" s="2" t="str">
        <v>ИСПАНИЯ ИСПАНИЯ</v>
      </c>
      <c r="D452" s="2" t="str">
        <v>Вера-Гран Тарахаль</v>
      </c>
      <c r="E452" s="3">
        <f>-</f>
      </c>
      <c r="F452" s="3">
        <f>-</f>
      </c>
      <c r="G452" s="3">
        <f>-</f>
      </c>
      <c r="H452" s="3">
        <f>=ROUND((1000/((1000/E452) + (1000/f452))),2)</f>
      </c>
      <c r="I452" s="3">
        <f>=ROUND((1000/((1000/E452) + (1000/G452))),2)</f>
      </c>
      <c r="J452" s="3">
        <f>=ROUND((1000/((1000/F452) + (1000/G452))),2)</f>
      </c>
    </row>
    <row r="453" xml:space="preserve">
      <c r="A453" s="2" t="str">
        <v>01/05 ВС</v>
      </c>
      <c r="B453" s="2" t="str" xml:space="preserve">
        <v xml:space="preserve">15:00_x000d_
TKP</v>
      </c>
      <c r="C453" s="2" t="str">
        <v>ИСПАНИЯ ИСПАНИЯ</v>
      </c>
      <c r="D453" s="2" t="str">
        <v>Лас Зокас-Вилла Санта Брихида</v>
      </c>
      <c r="E453" s="3">
        <f>-</f>
      </c>
      <c r="F453" s="3">
        <f>-</f>
      </c>
      <c r="G453" s="3">
        <f>-</f>
      </c>
      <c r="H453" s="3">
        <f>=ROUND((1000/((1000/E453) + (1000/f453))),2)</f>
      </c>
      <c r="I453" s="3">
        <f>=ROUND((1000/((1000/E453) + (1000/G453))),2)</f>
      </c>
      <c r="J453" s="3">
        <f>=ROUND((1000/((1000/F453) + (1000/G453))),2)</f>
      </c>
    </row>
    <row r="454" xml:space="preserve">
      <c r="A454" s="2" t="str">
        <v>01/05 ВС</v>
      </c>
      <c r="B454" s="2" t="str" xml:space="preserve">
        <v xml:space="preserve">15:00_x000d_
TKP</v>
      </c>
      <c r="C454" s="2" t="str">
        <v>ИСПАНИЯ ИСПАНИЯ</v>
      </c>
      <c r="D454" s="2" t="str">
        <v>Тениска-Ла-Куадра</v>
      </c>
      <c r="E454" s="3">
        <f>-</f>
      </c>
      <c r="F454" s="3">
        <f>-</f>
      </c>
      <c r="G454" s="3">
        <f>-</f>
      </c>
      <c r="H454" s="3">
        <f>=ROUND((1000/((1000/E454) + (1000/f454))),2)</f>
      </c>
      <c r="I454" s="3">
        <f>=ROUND((1000/((1000/E454) + (1000/G454))),2)</f>
      </c>
      <c r="J454" s="3">
        <f>=ROUND((1000/((1000/F454) + (1000/G454))),2)</f>
      </c>
    </row>
    <row r="455" xml:space="preserve">
      <c r="A455" s="2" t="str">
        <v>01/05 ВС</v>
      </c>
      <c r="B455" s="2" t="str" xml:space="preserve">
        <v xml:space="preserve">15:00_x000d_
TKP</v>
      </c>
      <c r="C455" s="2" t="str">
        <v>ИСПАНИЯ ИСПАНИЯ</v>
      </c>
      <c r="D455" s="2" t="str">
        <v>Унион Виера-С.Д. Марино</v>
      </c>
      <c r="E455" s="3">
        <f>-</f>
      </c>
      <c r="F455" s="3">
        <f>-</f>
      </c>
      <c r="G455" s="3">
        <f>-</f>
      </c>
      <c r="H455" s="3">
        <f>=ROUND((1000/((1000/E455) + (1000/f455))),2)</f>
      </c>
      <c r="I455" s="3">
        <f>=ROUND((1000/((1000/E455) + (1000/G455))),2)</f>
      </c>
      <c r="J455" s="3">
        <f>=ROUND((1000/((1000/F455) + (1000/G455))),2)</f>
      </c>
    </row>
    <row r="456" xml:space="preserve">
      <c r="A456" s="2" t="str">
        <v>01/05 ВС</v>
      </c>
      <c r="B456" s="2" t="str" xml:space="preserve">
        <v xml:space="preserve">15:00_x000d_
TKP</v>
      </c>
      <c r="C456" s="2" t="str">
        <v>ИСПАНИЯ ИСПАНИЯ</v>
      </c>
      <c r="D456" s="2" t="str">
        <v>Эрбания-Атлетико Пасо</v>
      </c>
      <c r="E456" s="3">
        <f>-</f>
      </c>
      <c r="F456" s="3">
        <f>-</f>
      </c>
      <c r="G456" s="3">
        <f>-</f>
      </c>
      <c r="H456" s="3">
        <f>=ROUND((1000/((1000/E456) + (1000/f456))),2)</f>
      </c>
      <c r="I456" s="3">
        <f>=ROUND((1000/((1000/E456) + (1000/G456))),2)</f>
      </c>
      <c r="J456" s="3">
        <f>=ROUND((1000/((1000/F456) + (1000/G456))),2)</f>
      </c>
    </row>
    <row r="457" xml:space="preserve">
      <c r="A457" s="2" t="str">
        <v>01/05 ВС</v>
      </c>
      <c r="B457" s="2" t="str" xml:space="preserve">
        <v xml:space="preserve">15:00_x000d_
TKP</v>
      </c>
      <c r="C457" s="2" t="str">
        <v>ИСПАНИЯ ИСПАНИЯ</v>
      </c>
      <c r="D457" s="2" t="str">
        <v>Яйса-Тенерифе (Б)</v>
      </c>
      <c r="E457" s="3">
        <f>-</f>
      </c>
      <c r="F457" s="3">
        <f>-</f>
      </c>
      <c r="G457" s="3">
        <f>-</f>
      </c>
      <c r="H457" s="3">
        <f>=ROUND((1000/((1000/E457) + (1000/f457))),2)</f>
      </c>
      <c r="I457" s="3">
        <f>=ROUND((1000/((1000/E457) + (1000/G457))),2)</f>
      </c>
      <c r="J457" s="3">
        <f>=ROUND((1000/((1000/F457) + (1000/G457))),2)</f>
      </c>
    </row>
    <row r="458" xml:space="preserve">
      <c r="A458" s="2" t="str">
        <v>01/05 ВС</v>
      </c>
      <c r="B458" s="2" t="str" xml:space="preserve">
        <v xml:space="preserve">20:00_x000d_
TKP</v>
      </c>
      <c r="C458" s="2" t="str">
        <v>ИСПАНИЯ ИСПАНИЯ</v>
      </c>
      <c r="D458" s="2" t="str">
        <v>Бала Азул-Архена</v>
      </c>
      <c r="E458" s="3">
        <f>-</f>
      </c>
      <c r="F458" s="3">
        <f>-</f>
      </c>
      <c r="G458" s="3">
        <f>-</f>
      </c>
      <c r="H458" s="3">
        <f>=ROUND((1000/((1000/E458) + (1000/f458))),2)</f>
      </c>
      <c r="I458" s="3">
        <f>=ROUND((1000/((1000/E458) + (1000/G458))),2)</f>
      </c>
      <c r="J458" s="3">
        <f>=ROUND((1000/((1000/F458) + (1000/G458))),2)</f>
      </c>
    </row>
    <row r="459" xml:space="preserve">
      <c r="A459" s="2" t="str">
        <v>01/05 ВС</v>
      </c>
      <c r="B459" s="2" t="str" xml:space="preserve">
        <v xml:space="preserve">20:00_x000d_
TKP</v>
      </c>
      <c r="C459" s="2" t="str">
        <v>ИСПАНИЯ ИСПАНИЯ</v>
      </c>
      <c r="D459" s="2" t="str">
        <v>Депортива Минейра-Еклано</v>
      </c>
      <c r="E459" s="3">
        <f>-</f>
      </c>
      <c r="F459" s="3">
        <f>-</f>
      </c>
      <c r="G459" s="3">
        <f>-</f>
      </c>
      <c r="H459" s="3">
        <f>=ROUND((1000/((1000/E459) + (1000/f459))),2)</f>
      </c>
      <c r="I459" s="3">
        <f>=ROUND((1000/((1000/E459) + (1000/G459))),2)</f>
      </c>
      <c r="J459" s="3">
        <f>=ROUND((1000/((1000/F459) + (1000/G459))),2)</f>
      </c>
    </row>
    <row r="460" xml:space="preserve">
      <c r="A460" s="2" t="str">
        <v>01/05 ВС</v>
      </c>
      <c r="B460" s="2" t="str" xml:space="preserve">
        <v xml:space="preserve">20:00_x000d_
TKP</v>
      </c>
      <c r="C460" s="2" t="str">
        <v>ИСПАНИЯ ИСПАНИЯ</v>
      </c>
      <c r="D460" s="2" t="str">
        <v>Картахена-Бульенсе</v>
      </c>
      <c r="E460" s="3">
        <f>-</f>
      </c>
      <c r="F460" s="3">
        <f>-</f>
      </c>
      <c r="G460" s="3">
        <f>-</f>
      </c>
      <c r="H460" s="3">
        <f>=ROUND((1000/((1000/E460) + (1000/f460))),2)</f>
      </c>
      <c r="I460" s="3">
        <f>=ROUND((1000/((1000/E460) + (1000/G460))),2)</f>
      </c>
      <c r="J460" s="3">
        <f>=ROUND((1000/((1000/F460) + (1000/G460))),2)</f>
      </c>
    </row>
    <row r="461" xml:space="preserve">
      <c r="A461" s="2" t="str">
        <v>01/05 ВС</v>
      </c>
      <c r="B461" s="2" t="str" xml:space="preserve">
        <v xml:space="preserve">20:00_x000d_
TKP</v>
      </c>
      <c r="C461" s="2" t="str">
        <v>ИСПАНИЯ ИСПАНИЯ</v>
      </c>
      <c r="D461" s="2" t="str">
        <v>Лос Гаррес-Лорка Депортива</v>
      </c>
      <c r="E461" s="3">
        <f>-</f>
      </c>
      <c r="F461" s="3">
        <f>-</f>
      </c>
      <c r="G461" s="3">
        <f>-</f>
      </c>
      <c r="H461" s="3">
        <f>=ROUND((1000/((1000/E461) + (1000/f461))),2)</f>
      </c>
      <c r="I461" s="3">
        <f>=ROUND((1000/((1000/E461) + (1000/G461))),2)</f>
      </c>
      <c r="J461" s="3">
        <f>=ROUND((1000/((1000/F461) + (1000/G461))),2)</f>
      </c>
    </row>
    <row r="462" xml:space="preserve">
      <c r="A462" s="2" t="str">
        <v>01/05 ВС</v>
      </c>
      <c r="B462" s="2" t="str" xml:space="preserve">
        <v xml:space="preserve">20:00_x000d_
TKP</v>
      </c>
      <c r="C462" s="2" t="str">
        <v>ИСПАНИЯ ИСПАНИЯ</v>
      </c>
      <c r="D462" s="2" t="str">
        <v>Пальмар-Сьюдад Мурсия</v>
      </c>
      <c r="E462" s="3">
        <f>-</f>
      </c>
      <c r="F462" s="3">
        <f>-</f>
      </c>
      <c r="G462" s="3">
        <f>-</f>
      </c>
      <c r="H462" s="3">
        <f>=ROUND((1000/((1000/E462) + (1000/f462))),2)</f>
      </c>
      <c r="I462" s="3">
        <f>=ROUND((1000/((1000/E462) + (1000/G462))),2)</f>
      </c>
      <c r="J462" s="3">
        <f>=ROUND((1000/((1000/F462) + (1000/G462))),2)</f>
      </c>
    </row>
    <row r="463" xml:space="preserve">
      <c r="A463" s="2" t="str">
        <v>01/05 ВС</v>
      </c>
      <c r="B463" s="2" t="str" xml:space="preserve">
        <v xml:space="preserve">20:00_x000d_
TKP</v>
      </c>
      <c r="C463" s="2" t="str">
        <v>ИСПАНИЯ ИСПАНИЯ</v>
      </c>
      <c r="D463" s="2" t="str">
        <v>Расинг Мурсия-Ла Унион</v>
      </c>
      <c r="E463" s="3">
        <f>-</f>
      </c>
      <c r="F463" s="3">
        <f>-</f>
      </c>
      <c r="G463" s="3">
        <f>-</f>
      </c>
      <c r="H463" s="3">
        <f>=ROUND((1000/((1000/E463) + (1000/f463))),2)</f>
      </c>
      <c r="I463" s="3">
        <f>=ROUND((1000/((1000/E463) + (1000/G463))),2)</f>
      </c>
      <c r="J463" s="3">
        <f>=ROUND((1000/((1000/F463) + (1000/G463))),2)</f>
      </c>
    </row>
    <row r="464" xml:space="preserve">
      <c r="A464" s="2" t="str">
        <v>01/05 ВС</v>
      </c>
      <c r="B464" s="2" t="str" xml:space="preserve">
        <v xml:space="preserve">20:00_x000d_
TKP</v>
      </c>
      <c r="C464" s="2" t="str">
        <v>ИСПАНИЯ ИСПАНИЯ</v>
      </c>
      <c r="D464" s="2" t="str">
        <v>Реал Мурсия (Б)-Картахена (Б)</v>
      </c>
      <c r="E464" s="3">
        <f>-</f>
      </c>
      <c r="F464" s="3">
        <f>-</f>
      </c>
      <c r="G464" s="3">
        <f>-</f>
      </c>
      <c r="H464" s="3">
        <f>=ROUND((1000/((1000/E464) + (1000/f464))),2)</f>
      </c>
      <c r="I464" s="3">
        <f>=ROUND((1000/((1000/E464) + (1000/G464))),2)</f>
      </c>
      <c r="J464" s="3">
        <f>=ROUND((1000/((1000/F464) + (1000/G464))),2)</f>
      </c>
    </row>
    <row r="465" xml:space="preserve">
      <c r="A465" s="2" t="str">
        <v>01/05 ВС</v>
      </c>
      <c r="B465" s="2" t="str" xml:space="preserve">
        <v xml:space="preserve">20:00_x000d_
TKP</v>
      </c>
      <c r="C465" s="2" t="str">
        <v>ИСПАНИЯ ИСПАНИЯ</v>
      </c>
      <c r="D465" s="2" t="str">
        <v>УКАМ Мурсия (Б)-Каравака</v>
      </c>
      <c r="E465" s="3">
        <f>-</f>
      </c>
      <c r="F465" s="3">
        <f>-</f>
      </c>
      <c r="G465" s="3">
        <f>-</f>
      </c>
      <c r="H465" s="3">
        <f>=ROUND((1000/((1000/E465) + (1000/f465))),2)</f>
      </c>
      <c r="I465" s="3">
        <f>=ROUND((1000/((1000/E465) + (1000/G465))),2)</f>
      </c>
      <c r="J465" s="3">
        <f>=ROUND((1000/((1000/F465) + (1000/G465))),2)</f>
      </c>
    </row>
    <row r="466" xml:space="preserve">
      <c r="A466" s="2" t="str">
        <v>01/05 ВС</v>
      </c>
      <c r="B466" s="2" t="str" xml:space="preserve">
        <v xml:space="preserve">20:00_x000d_
TKP</v>
      </c>
      <c r="C466" s="2" t="str">
        <v>ИСПАНИЯ ИСПАНИЯ</v>
      </c>
      <c r="D466" s="2" t="str">
        <v>Уэркаль-Овера-Масаррон</v>
      </c>
      <c r="E466" s="3">
        <f>-</f>
      </c>
      <c r="F466" s="3">
        <f>-</f>
      </c>
      <c r="G466" s="3">
        <f>-</f>
      </c>
      <c r="H466" s="3">
        <f>=ROUND((1000/((1000/E466) + (1000/f466))),2)</f>
      </c>
      <c r="I466" s="3">
        <f>=ROUND((1000/((1000/E466) + (1000/G466))),2)</f>
      </c>
      <c r="J466" s="3">
        <f>=ROUND((1000/((1000/F466) + (1000/G466))),2)</f>
      </c>
    </row>
    <row r="467">
      <c r="A467" s="2" t="str">
        <v>01/05 ВС</v>
      </c>
      <c r="B467" s="2" t="str">
        <v>21:00</v>
      </c>
      <c r="C467" s="2" t="str">
        <v>ИСПАНИЯ ИСПАНИЯ</v>
      </c>
      <c r="D467" s="2" t="str">
        <v>Йерененсе-Херес</v>
      </c>
      <c r="E467" s="3">
        <f>-</f>
      </c>
      <c r="F467" s="3">
        <f>-</f>
      </c>
      <c r="G467" s="3">
        <f>-</f>
      </c>
      <c r="H467" s="3">
        <f>=ROUND((1000/((1000/E467) + (1000/f467))),2)</f>
      </c>
      <c r="I467" s="3">
        <f>=ROUND((1000/((1000/E467) + (1000/G467))),2)</f>
      </c>
      <c r="J467" s="3">
        <f>=ROUND((1000/((1000/F467) + (1000/G467))),2)</f>
      </c>
    </row>
    <row r="468" xml:space="preserve">
      <c r="A468" s="2" t="str">
        <v>01/05 ВС</v>
      </c>
      <c r="B468" s="2" t="str" xml:space="preserve">
        <v xml:space="preserve">19:30_x000d_
TKP</v>
      </c>
      <c r="C468" s="2" t="str">
        <v>ИСПАНИЯ ИСПАНИЯ</v>
      </c>
      <c r="D468" s="2" t="str">
        <v>Агонсильо-Ойонеса</v>
      </c>
      <c r="E468" s="3">
        <f>-</f>
      </c>
      <c r="F468" s="3">
        <f>-</f>
      </c>
      <c r="G468" s="3">
        <f>-</f>
      </c>
      <c r="H468" s="3">
        <f>=ROUND((1000/((1000/E468) + (1000/f468))),2)</f>
      </c>
      <c r="I468" s="3">
        <f>=ROUND((1000/((1000/E468) + (1000/G468))),2)</f>
      </c>
      <c r="J468" s="3">
        <f>=ROUND((1000/((1000/F468) + (1000/G468))),2)</f>
      </c>
    </row>
    <row r="469" xml:space="preserve">
      <c r="A469" s="2" t="str">
        <v>01/05 ВС</v>
      </c>
      <c r="B469" s="2" t="str" xml:space="preserve">
        <v xml:space="preserve">19:30_x000d_
TKP</v>
      </c>
      <c r="C469" s="2" t="str">
        <v>ИСПАНИЯ ИСПАНИЯ</v>
      </c>
      <c r="D469" s="2" t="str">
        <v>Альфаро-Харо Депортиво</v>
      </c>
      <c r="E469" s="3">
        <f>-</f>
      </c>
      <c r="F469" s="3">
        <f>-</f>
      </c>
      <c r="G469" s="3">
        <f>-</f>
      </c>
      <c r="H469" s="3">
        <f>=ROUND((1000/((1000/E469) + (1000/f469))),2)</f>
      </c>
      <c r="I469" s="3">
        <f>=ROUND((1000/((1000/E469) + (1000/G469))),2)</f>
      </c>
      <c r="J469" s="3">
        <f>=ROUND((1000/((1000/F469) + (1000/G469))),2)</f>
      </c>
    </row>
    <row r="470" xml:space="preserve">
      <c r="A470" s="2" t="str">
        <v>01/05 ВС</v>
      </c>
      <c r="B470" s="2" t="str" xml:space="preserve">
        <v xml:space="preserve">19:30_x000d_
TKP</v>
      </c>
      <c r="C470" s="2" t="str">
        <v>ИСПАНИЯ ИСПАНИЯ</v>
      </c>
      <c r="D470" s="2" t="str">
        <v>Ангиано-Ла-Кальсада</v>
      </c>
      <c r="E470" s="3">
        <f>-</f>
      </c>
      <c r="F470" s="3">
        <f>-</f>
      </c>
      <c r="G470" s="3">
        <f>-</f>
      </c>
      <c r="H470" s="3">
        <f>=ROUND((1000/((1000/E470) + (1000/f470))),2)</f>
      </c>
      <c r="I470" s="3">
        <f>=ROUND((1000/((1000/E470) + (1000/G470))),2)</f>
      </c>
      <c r="J470" s="3">
        <f>=ROUND((1000/((1000/F470) + (1000/G470))),2)</f>
      </c>
    </row>
    <row r="471" xml:space="preserve">
      <c r="A471" s="2" t="str">
        <v>01/05 ВС</v>
      </c>
      <c r="B471" s="2" t="str" xml:space="preserve">
        <v xml:space="preserve">19:30_x000d_
TKP</v>
      </c>
      <c r="C471" s="2" t="str">
        <v>ИСПАНИЯ ИСПАНИЯ</v>
      </c>
      <c r="D471" s="2" t="str">
        <v>Арнедо-Берсео</v>
      </c>
      <c r="E471" s="3">
        <f>-</f>
      </c>
      <c r="F471" s="3">
        <f>-</f>
      </c>
      <c r="G471" s="3">
        <f>-</f>
      </c>
      <c r="H471" s="3">
        <f>=ROUND((1000/((1000/E471) + (1000/f471))),2)</f>
      </c>
      <c r="I471" s="3">
        <f>=ROUND((1000/((1000/E471) + (1000/G471))),2)</f>
      </c>
      <c r="J471" s="3">
        <f>=ROUND((1000/((1000/F471) + (1000/G471))),2)</f>
      </c>
    </row>
    <row r="472" xml:space="preserve">
      <c r="A472" s="2" t="str">
        <v>01/05 ВС</v>
      </c>
      <c r="B472" s="2" t="str" xml:space="preserve">
        <v xml:space="preserve">19:30_x000d_
TKP</v>
      </c>
      <c r="C472" s="2" t="str">
        <v>ИСПАНИЯ ИСПАНИЯ</v>
      </c>
      <c r="D472" s="2" t="str">
        <v>Вианес-СФ Рапид</v>
      </c>
      <c r="E472" s="3">
        <f>-</f>
      </c>
      <c r="F472" s="3">
        <f>-</f>
      </c>
      <c r="G472" s="3">
        <f>-</f>
      </c>
      <c r="H472" s="3">
        <f>=ROUND((1000/((1000/E472) + (1000/f472))),2)</f>
      </c>
      <c r="I472" s="3">
        <f>=ROUND((1000/((1000/E472) + (1000/G472))),2)</f>
      </c>
      <c r="J472" s="3">
        <f>=ROUND((1000/((1000/F472) + (1000/G472))),2)</f>
      </c>
    </row>
    <row r="473" xml:space="preserve">
      <c r="A473" s="2" t="str">
        <v>01/05 ВС</v>
      </c>
      <c r="B473" s="2" t="str" xml:space="preserve">
        <v xml:space="preserve">19:30_x000d_
TKP</v>
      </c>
      <c r="C473" s="2" t="str">
        <v>ИСПАНИЯ ИСПАНИЯ</v>
      </c>
      <c r="D473" s="2" t="str">
        <v>Касаларрейна-Калаорра (Б)</v>
      </c>
      <c r="E473" s="3">
        <f>-</f>
      </c>
      <c r="F473" s="3">
        <f>-</f>
      </c>
      <c r="G473" s="3">
        <f>-</f>
      </c>
      <c r="H473" s="3">
        <f>=ROUND((1000/((1000/E473) + (1000/f473))),2)</f>
      </c>
      <c r="I473" s="3">
        <f>=ROUND((1000/((1000/E473) + (1000/G473))),2)</f>
      </c>
      <c r="J473" s="3">
        <f>=ROUND((1000/((1000/F473) + (1000/G473))),2)</f>
      </c>
    </row>
    <row r="474" xml:space="preserve">
      <c r="A474" s="2" t="str">
        <v>01/05 ВС</v>
      </c>
      <c r="B474" s="2" t="str" xml:space="preserve">
        <v xml:space="preserve">19:30_x000d_
TKP</v>
      </c>
      <c r="C474" s="2" t="str">
        <v>ИСПАНИЯ ИСПАНИЯ</v>
      </c>
      <c r="D474" s="2" t="str">
        <v>Сенисеро-Вареа</v>
      </c>
      <c r="E474" s="3">
        <f>-</f>
      </c>
      <c r="F474" s="3">
        <f>-</f>
      </c>
      <c r="G474" s="3">
        <f>-</f>
      </c>
      <c r="H474" s="3">
        <f>=ROUND((1000/((1000/E474) + (1000/f474))),2)</f>
      </c>
      <c r="I474" s="3">
        <f>=ROUND((1000/((1000/E474) + (1000/G474))),2)</f>
      </c>
      <c r="J474" s="3">
        <f>=ROUND((1000/((1000/F474) + (1000/G474))),2)</f>
      </c>
    </row>
    <row r="475" xml:space="preserve">
      <c r="A475" s="2" t="str">
        <v>01/05 ВС</v>
      </c>
      <c r="B475" s="2" t="str" xml:space="preserve">
        <v xml:space="preserve">19:30_x000d_
TKP</v>
      </c>
      <c r="C475" s="2" t="str">
        <v>ИСПАНИЯ ИСПАНИЯ</v>
      </c>
      <c r="D475" s="2" t="str">
        <v>Ягюе-Ривер Эбро</v>
      </c>
      <c r="E475" s="3">
        <f>-</f>
      </c>
      <c r="F475" s="3">
        <f>-</f>
      </c>
      <c r="G475" s="3">
        <f>-</f>
      </c>
      <c r="H475" s="3">
        <f>=ROUND((1000/((1000/E475) + (1000/f475))),2)</f>
      </c>
      <c r="I475" s="3">
        <f>=ROUND((1000/((1000/E475) + (1000/G475))),2)</f>
      </c>
      <c r="J475" s="3">
        <f>=ROUND((1000/((1000/F475) + (1000/G475))),2)</f>
      </c>
    </row>
    <row r="476" xml:space="preserve">
      <c r="A476" s="2" t="str">
        <v>01/05 ВС</v>
      </c>
      <c r="B476" s="2" t="str" xml:space="preserve">
        <v xml:space="preserve">19:00_x000d_
TKP</v>
      </c>
      <c r="C476" s="2" t="str">
        <v>ИСПАНИЯ ИСПАНИЯ</v>
      </c>
      <c r="D476" s="2" t="str">
        <v>Атлетико Монсон-Каспе</v>
      </c>
      <c r="E476" s="3">
        <f>-</f>
      </c>
      <c r="F476" s="3">
        <f>-</f>
      </c>
      <c r="G476" s="3">
        <f>-</f>
      </c>
      <c r="H476" s="3">
        <f>=ROUND((1000/((1000/E476) + (1000/f476))),2)</f>
      </c>
      <c r="I476" s="3">
        <f>=ROUND((1000/((1000/E476) + (1000/G476))),2)</f>
      </c>
      <c r="J476" s="3">
        <f>=ROUND((1000/((1000/F476) + (1000/G476))),2)</f>
      </c>
    </row>
    <row r="477" xml:space="preserve">
      <c r="A477" s="2" t="str">
        <v>01/05 ВС</v>
      </c>
      <c r="B477" s="2" t="str" xml:space="preserve">
        <v xml:space="preserve">19:00_x000d_
TKP</v>
      </c>
      <c r="C477" s="2" t="str">
        <v>ИСПАНИЯ ИСПАНИЯ</v>
      </c>
      <c r="D477" s="2" t="str">
        <v>Барбастро-Бинефар</v>
      </c>
      <c r="E477" s="3">
        <f>-</f>
      </c>
      <c r="F477" s="3">
        <f>-</f>
      </c>
      <c r="G477" s="3">
        <f>-</f>
      </c>
      <c r="H477" s="3">
        <f>=ROUND((1000/((1000/E477) + (1000/f477))),2)</f>
      </c>
      <c r="I477" s="3">
        <f>=ROUND((1000/((1000/E477) + (1000/G477))),2)</f>
      </c>
      <c r="J477" s="3">
        <f>=ROUND((1000/((1000/F477) + (1000/G477))),2)</f>
      </c>
    </row>
    <row r="478" xml:space="preserve">
      <c r="A478" s="2" t="str">
        <v>01/05 ВС</v>
      </c>
      <c r="B478" s="2" t="str" xml:space="preserve">
        <v xml:space="preserve">19:00_x000d_
TKP</v>
      </c>
      <c r="C478" s="2" t="str">
        <v>ИСПАНИЯ ИСПАНИЯ</v>
      </c>
      <c r="D478" s="2" t="str">
        <v>Борха-Эпила</v>
      </c>
      <c r="E478" s="3">
        <f>-</f>
      </c>
      <c r="F478" s="3">
        <f>-</f>
      </c>
      <c r="G478" s="3">
        <f>-</f>
      </c>
      <c r="H478" s="3">
        <f>=ROUND((1000/((1000/E478) + (1000/f478))),2)</f>
      </c>
      <c r="I478" s="3">
        <f>=ROUND((1000/((1000/E478) + (1000/G478))),2)</f>
      </c>
      <c r="J478" s="3">
        <f>=ROUND((1000/((1000/F478) + (1000/G478))),2)</f>
      </c>
    </row>
    <row r="479" xml:space="preserve">
      <c r="A479" s="2" t="str">
        <v>01/05 ВС</v>
      </c>
      <c r="B479" s="2" t="str" xml:space="preserve">
        <v xml:space="preserve">19:00_x000d_
TKP</v>
      </c>
      <c r="C479" s="2" t="str">
        <v>ИСПАНИЯ ИСПАНИЯ</v>
      </c>
      <c r="D479" s="2" t="str">
        <v>Ильека-Санта-Анастасия</v>
      </c>
      <c r="E479" s="3">
        <f>-</f>
      </c>
      <c r="F479" s="3">
        <f>-</f>
      </c>
      <c r="G479" s="3">
        <f>-</f>
      </c>
      <c r="H479" s="3">
        <f>=ROUND((1000/((1000/E479) + (1000/f479))),2)</f>
      </c>
      <c r="I479" s="3">
        <f>=ROUND((1000/((1000/E479) + (1000/G479))),2)</f>
      </c>
      <c r="J479" s="3">
        <f>=ROUND((1000/((1000/F479) + (1000/G479))),2)</f>
      </c>
    </row>
    <row r="480" xml:space="preserve">
      <c r="A480" s="2" t="str">
        <v>01/05 ВС</v>
      </c>
      <c r="B480" s="2" t="str" xml:space="preserve">
        <v xml:space="preserve">19:00_x000d_
TKP</v>
      </c>
      <c r="C480" s="2" t="str">
        <v>ИСПАНИЯ ИСПАНИЯ</v>
      </c>
      <c r="D480" s="2" t="str">
        <v>Каламоча-Робрес</v>
      </c>
      <c r="E480" s="3">
        <f>-</f>
      </c>
      <c r="F480" s="3">
        <f>-</f>
      </c>
      <c r="G480" s="3">
        <f>-</f>
      </c>
      <c r="H480" s="3">
        <f>=ROUND((1000/((1000/E480) + (1000/f480))),2)</f>
      </c>
      <c r="I480" s="3">
        <f>=ROUND((1000/((1000/E480) + (1000/G480))),2)</f>
      </c>
      <c r="J480" s="3">
        <f>=ROUND((1000/((1000/F480) + (1000/G480))),2)</f>
      </c>
    </row>
    <row r="481" xml:space="preserve">
      <c r="A481" s="2" t="str">
        <v>01/05 ВС</v>
      </c>
      <c r="B481" s="2" t="str" xml:space="preserve">
        <v xml:space="preserve">19:00_x000d_
TKP</v>
      </c>
      <c r="C481" s="2" t="str">
        <v>ИСПАНИЯ ИСПАНИЯ</v>
      </c>
      <c r="D481" s="2" t="str">
        <v>Кариньена-Куарте</v>
      </c>
      <c r="E481" s="3">
        <f>-</f>
      </c>
      <c r="F481" s="3">
        <f>-</f>
      </c>
      <c r="G481" s="3">
        <f>-</f>
      </c>
      <c r="H481" s="3">
        <f>=ROUND((1000/((1000/E481) + (1000/f481))),2)</f>
      </c>
      <c r="I481" s="3">
        <f>=ROUND((1000/((1000/E481) + (1000/G481))),2)</f>
      </c>
      <c r="J481" s="3">
        <f>=ROUND((1000/((1000/F481) + (1000/G481))),2)</f>
      </c>
    </row>
    <row r="482" xml:space="preserve">
      <c r="A482" s="2" t="str">
        <v>01/05 ВС</v>
      </c>
      <c r="B482" s="2" t="str" xml:space="preserve">
        <v xml:space="preserve">19:00_x000d_
TKP</v>
      </c>
      <c r="C482" s="2" t="str">
        <v>ИСПАНИЯ ИСПАНИЯ</v>
      </c>
      <c r="D482" s="2" t="str">
        <v>Сарагоса (Б)-Хинер Торреро</v>
      </c>
      <c r="E482" s="3">
        <f>-</f>
      </c>
      <c r="F482" s="3">
        <f>-</f>
      </c>
      <c r="G482" s="3">
        <f>-</f>
      </c>
      <c r="H482" s="3">
        <f>=ROUND((1000/((1000/E482) + (1000/f482))),2)</f>
      </c>
      <c r="I482" s="3">
        <f>=ROUND((1000/((1000/E482) + (1000/G482))),2)</f>
      </c>
      <c r="J482" s="3">
        <f>=ROUND((1000/((1000/F482) + (1000/G482))),2)</f>
      </c>
    </row>
    <row r="483" xml:space="preserve">
      <c r="A483" s="2" t="str">
        <v>01/05 ВС</v>
      </c>
      <c r="B483" s="2" t="str" xml:space="preserve">
        <v xml:space="preserve">19:00_x000d_
TKP</v>
      </c>
      <c r="C483" s="2" t="str">
        <v>ИСПАНИЯ ИСПАНИЯ</v>
      </c>
      <c r="D483" s="2" t="str">
        <v>Утебо-Бьескас</v>
      </c>
      <c r="E483" s="3">
        <f>-</f>
      </c>
      <c r="F483" s="3">
        <f>-</f>
      </c>
      <c r="G483" s="3">
        <f>-</f>
      </c>
      <c r="H483" s="3">
        <f>=ROUND((1000/((1000/E483) + (1000/f483))),2)</f>
      </c>
      <c r="I483" s="3">
        <f>=ROUND((1000/((1000/E483) + (1000/G483))),2)</f>
      </c>
      <c r="J483" s="3">
        <f>=ROUND((1000/((1000/F483) + (1000/G483))),2)</f>
      </c>
    </row>
    <row r="484" xml:space="preserve">
      <c r="A484" s="2" t="str">
        <v>01/05 ВС</v>
      </c>
      <c r="B484" s="2" t="str" xml:space="preserve">
        <v xml:space="preserve">14:00_x000d_
TKP</v>
      </c>
      <c r="C484" s="2" t="str">
        <v>ИСПАНИЯ ИСПАНИЯ</v>
      </c>
      <c r="D484" s="2" t="str">
        <v>Асукека-Уракан де Баласоте</v>
      </c>
      <c r="E484" s="3">
        <f>-</f>
      </c>
      <c r="F484" s="3">
        <f>-</f>
      </c>
      <c r="G484" s="3">
        <f>-</f>
      </c>
      <c r="H484" s="3">
        <f>=ROUND((1000/((1000/E484) + (1000/f484))),2)</f>
      </c>
      <c r="I484" s="3">
        <f>=ROUND((1000/((1000/E484) + (1000/G484))),2)</f>
      </c>
      <c r="J484" s="3">
        <f>=ROUND((1000/((1000/F484) + (1000/G484))),2)</f>
      </c>
    </row>
    <row r="485" xml:space="preserve">
      <c r="A485" s="2" t="str">
        <v>01/05 ВС</v>
      </c>
      <c r="B485" s="2" t="str" xml:space="preserve">
        <v xml:space="preserve">14:00_x000d_
TKP</v>
      </c>
      <c r="C485" s="2" t="str">
        <v>ИСПАНИЯ ИСПАНИЯ</v>
      </c>
      <c r="D485" s="2" t="str">
        <v>Мигельтурьеньо-Таранкон</v>
      </c>
      <c r="E485" s="3">
        <f>-</f>
      </c>
      <c r="F485" s="3">
        <f>-</f>
      </c>
      <c r="G485" s="3">
        <f>-</f>
      </c>
      <c r="H485" s="3">
        <f>=ROUND((1000/((1000/E485) + (1000/f485))),2)</f>
      </c>
      <c r="I485" s="3">
        <f>=ROUND((1000/((1000/E485) + (1000/G485))),2)</f>
      </c>
      <c r="J485" s="3">
        <f>=ROUND((1000/((1000/F485) + (1000/G485))),2)</f>
      </c>
    </row>
    <row r="486" xml:space="preserve">
      <c r="A486" s="2" t="str">
        <v>01/05 ВС</v>
      </c>
      <c r="B486" s="2" t="str" xml:space="preserve">
        <v xml:space="preserve">20:00_x000d_
TKP</v>
      </c>
      <c r="C486" s="2" t="str">
        <v>ИСПАНИЯ ИСПАНИЯ</v>
      </c>
      <c r="D486" s="2" t="str">
        <v>Вилларубия-Альбасете (Б)</v>
      </c>
      <c r="E486" s="3">
        <f>-</f>
      </c>
      <c r="F486" s="3">
        <f>-</f>
      </c>
      <c r="G486" s="3">
        <f>-</f>
      </c>
      <c r="H486" s="3">
        <f>=ROUND((1000/((1000/E486) + (1000/f486))),2)</f>
      </c>
      <c r="I486" s="3">
        <f>=ROUND((1000/((1000/E486) + (1000/G486))),2)</f>
      </c>
      <c r="J486" s="3">
        <f>=ROUND((1000/((1000/F486) + (1000/G486))),2)</f>
      </c>
    </row>
    <row r="487" xml:space="preserve">
      <c r="A487" s="2" t="str">
        <v>01/05 ВС</v>
      </c>
      <c r="B487" s="2" t="str" xml:space="preserve">
        <v xml:space="preserve">20:00_x000d_
TKP</v>
      </c>
      <c r="C487" s="2" t="str">
        <v>ИСПАНИЯ ИСПАНИЯ</v>
      </c>
      <c r="D487" s="2" t="str">
        <v>Конкенсе-Альманса</v>
      </c>
      <c r="E487" s="3">
        <f>-</f>
      </c>
      <c r="F487" s="3">
        <f>-</f>
      </c>
      <c r="G487" s="3">
        <f>-</f>
      </c>
      <c r="H487" s="3">
        <f>=ROUND((1000/((1000/E487) + (1000/f487))),2)</f>
      </c>
      <c r="I487" s="3">
        <f>=ROUND((1000/((1000/E487) + (1000/G487))),2)</f>
      </c>
      <c r="J487" s="3">
        <f>=ROUND((1000/((1000/F487) + (1000/G487))),2)</f>
      </c>
    </row>
    <row r="488">
      <c r="A488" s="2" t="str">
        <v>01/05 ВС</v>
      </c>
      <c r="B488" s="2" t="str">
        <v>Тех. поражение</v>
      </c>
      <c r="C488" s="2" t="str">
        <v>ИСПАНИЯ ИСПАНИЯ</v>
      </c>
      <c r="D488" s="2" t="str">
        <v>Сьюдад Реал-Ла Рода</v>
      </c>
      <c r="E488" s="3">
        <f>0</f>
      </c>
      <c r="F488" s="3">
        <f>-</f>
      </c>
      <c r="G488" s="3">
        <f>-</f>
      </c>
      <c r="H488" s="3">
        <f>=ROUND((1000/((1000/E488) + (1000/f488))),2)</f>
      </c>
      <c r="I488" s="3">
        <f>=ROUND((1000/((1000/E488) + (1000/G488))),2)</f>
      </c>
      <c r="J488" s="3">
        <f>=ROUND((1000/((1000/F488) + (1000/G488))),2)</f>
      </c>
    </row>
    <row r="489">
      <c r="A489" s="2" t="str">
        <v>01/05 ВС</v>
      </c>
      <c r="B489" s="2" t="str">
        <v>13:00</v>
      </c>
      <c r="C489" s="2" t="str">
        <v>ИСПАНИЯ ИСПАНИЯ</v>
      </c>
      <c r="D489" s="2" t="str">
        <v>Леванте (Ж)-Атлетико Мадрид (Ж)</v>
      </c>
      <c r="E489" s="3">
        <f>-</f>
      </c>
      <c r="F489" s="3">
        <f>-</f>
      </c>
      <c r="G489" s="3">
        <f>-</f>
      </c>
      <c r="H489" s="3">
        <f>=ROUND((1000/((1000/E489) + (1000/f489))),2)</f>
      </c>
      <c r="I489" s="3">
        <f>=ROUND((1000/((1000/E489) + (1000/G489))),2)</f>
      </c>
      <c r="J489" s="3">
        <f>=ROUND((1000/((1000/F489) + (1000/G489))),2)</f>
      </c>
    </row>
    <row r="490">
      <c r="A490" s="2" t="str">
        <v>01/05 ВС</v>
      </c>
      <c r="B490" s="2" t="str">
        <v>13:00</v>
      </c>
      <c r="C490" s="2" t="str">
        <v>ИСПАНИЯ ИСПАНИЯ</v>
      </c>
      <c r="D490" s="2" t="str">
        <v>Реал Мадрид (Ж)-Мадрид (Ж)</v>
      </c>
      <c r="E490" s="3">
        <f>-</f>
      </c>
      <c r="F490" s="3">
        <f>-</f>
      </c>
      <c r="G490" s="3">
        <f>-</f>
      </c>
      <c r="H490" s="3">
        <f>=ROUND((1000/((1000/E490) + (1000/f490))),2)</f>
      </c>
      <c r="I490" s="3">
        <f>=ROUND((1000/((1000/E490) + (1000/G490))),2)</f>
      </c>
      <c r="J490" s="3">
        <f>=ROUND((1000/((1000/F490) + (1000/G490))),2)</f>
      </c>
    </row>
    <row r="491">
      <c r="A491" s="2" t="str">
        <v>01/05 ВС</v>
      </c>
      <c r="B491" s="2" t="str">
        <v>13:30</v>
      </c>
      <c r="C491" s="2" t="str">
        <v>ИСПАНИЯ ИСПАНИЯ</v>
      </c>
      <c r="D491" s="2" t="str">
        <v>Эйбар (Ж)-Вильярреал (Ж)</v>
      </c>
      <c r="E491" s="3">
        <f>-</f>
      </c>
      <c r="F491" s="3">
        <f>-</f>
      </c>
      <c r="G491" s="3">
        <f>-</f>
      </c>
      <c r="H491" s="3">
        <f>=ROUND((1000/((1000/E491) + (1000/f491))),2)</f>
      </c>
      <c r="I491" s="3">
        <f>=ROUND((1000/((1000/E491) + (1000/G491))),2)</f>
      </c>
      <c r="J491" s="3">
        <f>=ROUND((1000/((1000/F491) + (1000/G491))),2)</f>
      </c>
    </row>
    <row r="492">
      <c r="A492" s="2" t="str">
        <v>01/05 ВС</v>
      </c>
      <c r="B492" s="2" t="str">
        <v>14:00</v>
      </c>
      <c r="C492" s="2" t="str">
        <v>ИСПАНИЯ ИСПАНИЯ</v>
      </c>
      <c r="D492" s="2" t="str">
        <v>Реал Сосьедад (Ж)-Райо Вальекано (Ж)</v>
      </c>
      <c r="E492" s="3">
        <f>-</f>
      </c>
      <c r="F492" s="3">
        <f>-</f>
      </c>
      <c r="G492" s="3">
        <f>-</f>
      </c>
      <c r="H492" s="3">
        <f>=ROUND((1000/((1000/E492) + (1000/f492))),2)</f>
      </c>
      <c r="I492" s="3">
        <f>=ROUND((1000/((1000/E492) + (1000/G492))),2)</f>
      </c>
      <c r="J492" s="3">
        <f>=ROUND((1000/((1000/F492) + (1000/G492))),2)</f>
      </c>
    </row>
    <row r="493">
      <c r="A493" s="2" t="str">
        <v>01/05 ВС</v>
      </c>
      <c r="B493" s="2" t="str">
        <v>14:00</v>
      </c>
      <c r="C493" s="2" t="str">
        <v>ИСПАНИЯ ИСПАНИЯ</v>
      </c>
      <c r="D493" s="2" t="str">
        <v>Уэльва (Ж)-Алавес (Ж)</v>
      </c>
      <c r="E493" s="3">
        <f>-</f>
      </c>
      <c r="F493" s="3">
        <f>-</f>
      </c>
      <c r="G493" s="3">
        <f>-</f>
      </c>
      <c r="H493" s="3">
        <f>=ROUND((1000/((1000/E493) + (1000/f493))),2)</f>
      </c>
      <c r="I493" s="3">
        <f>=ROUND((1000/((1000/E493) + (1000/G493))),2)</f>
      </c>
      <c r="J493" s="3">
        <f>=ROUND((1000/((1000/F493) + (1000/G493))),2)</f>
      </c>
    </row>
    <row r="494" xml:space="preserve">
      <c r="A494" s="2" t="str">
        <v>01/05 ВС</v>
      </c>
      <c r="B494" s="2" t="str" xml:space="preserve">
        <v xml:space="preserve">13:00_x000d_
TKP</v>
      </c>
      <c r="C494" s="2" t="str">
        <v>ИСПАНИЯ ИСПАНИЯ</v>
      </c>
      <c r="D494" s="2" t="str">
        <v>Осасуна (Ж)-Real Oviedo (Ж)</v>
      </c>
      <c r="E494" s="3">
        <f>-</f>
      </c>
      <c r="F494" s="3">
        <f>-</f>
      </c>
      <c r="G494" s="3">
        <f>-</f>
      </c>
      <c r="H494" s="3">
        <f>=ROUND((1000/((1000/E494) + (1000/f494))),2)</f>
      </c>
      <c r="I494" s="3">
        <f>=ROUND((1000/((1000/E494) + (1000/G494))),2)</f>
      </c>
      <c r="J494" s="3">
        <f>=ROUND((1000/((1000/F494) + (1000/G494))),2)</f>
      </c>
    </row>
    <row r="495" xml:space="preserve">
      <c r="A495" s="2" t="str">
        <v>01/05 ВС</v>
      </c>
      <c r="B495" s="2" t="str" xml:space="preserve">
        <v xml:space="preserve">14:00_x000d_
TKP</v>
      </c>
      <c r="C495" s="2" t="str">
        <v>ИСПАНИЯ ИСПАНИЯ</v>
      </c>
      <c r="D495" s="2" t="str">
        <v>Ла Солана (Ж)-Фемаргин (Ж)</v>
      </c>
      <c r="E495" s="3">
        <f>-</f>
      </c>
      <c r="F495" s="3">
        <f>-</f>
      </c>
      <c r="G495" s="3">
        <f>-</f>
      </c>
      <c r="H495" s="3">
        <f>=ROUND((1000/((1000/E495) + (1000/f495))),2)</f>
      </c>
      <c r="I495" s="3">
        <f>=ROUND((1000/((1000/E495) + (1000/G495))),2)</f>
      </c>
      <c r="J495" s="3">
        <f>=ROUND((1000/((1000/F495) + (1000/G495))),2)</f>
      </c>
    </row>
    <row r="496" xml:space="preserve">
      <c r="A496" s="2" t="str">
        <v>01/05 ВС</v>
      </c>
      <c r="B496" s="2" t="str" xml:space="preserve">
        <v xml:space="preserve">14:00_x000d_
TKP</v>
      </c>
      <c r="C496" s="2" t="str">
        <v>ИСПАНИЯ ИСПАНИЯ</v>
      </c>
      <c r="D496" s="2" t="str">
        <v>Логроньо (Ж)-Атлетико (Б) (Ж)</v>
      </c>
      <c r="E496" s="3">
        <f>-</f>
      </c>
      <c r="F496" s="3">
        <f>-</f>
      </c>
      <c r="G496" s="3">
        <f>-</f>
      </c>
      <c r="H496" s="3">
        <f>=ROUND((1000/((1000/E496) + (1000/f496))),2)</f>
      </c>
      <c r="I496" s="3">
        <f>=ROUND((1000/((1000/E496) + (1000/G496))),2)</f>
      </c>
      <c r="J496" s="3">
        <f>=ROUND((1000/((1000/F496) + (1000/G496))),2)</f>
      </c>
    </row>
    <row r="497" xml:space="preserve">
      <c r="A497" s="2" t="str">
        <v>01/05 ВС</v>
      </c>
      <c r="B497" s="2" t="str" xml:space="preserve">
        <v xml:space="preserve">14:00_x000d_
TKP</v>
      </c>
      <c r="C497" s="2" t="str">
        <v>ИСПАНИЯ ИСПАНИЯ</v>
      </c>
      <c r="D497" s="2" t="str">
        <v>Р. Юнион (Ж)-Альхама (Ж)</v>
      </c>
      <c r="E497" s="3">
        <f>-</f>
      </c>
      <c r="F497" s="3">
        <f>-</f>
      </c>
      <c r="G497" s="3">
        <f>-</f>
      </c>
      <c r="H497" s="3">
        <f>=ROUND((1000/((1000/E497) + (1000/f497))),2)</f>
      </c>
      <c r="I497" s="3">
        <f>=ROUND((1000/((1000/E497) + (1000/G497))),2)</f>
      </c>
      <c r="J497" s="3">
        <f>=ROUND((1000/((1000/F497) + (1000/G497))),2)</f>
      </c>
    </row>
    <row r="498" xml:space="preserve">
      <c r="A498" s="2" t="str">
        <v>01/05 ВС</v>
      </c>
      <c r="B498" s="2" t="str" xml:space="preserve">
        <v xml:space="preserve">14:00_x000d_
TKP</v>
      </c>
      <c r="C498" s="2" t="str">
        <v>ИСПАНИЯ ИСПАНИЯ</v>
      </c>
      <c r="D498" s="2" t="str">
        <v>Расинг (Ж)-Прадехон (Ж)</v>
      </c>
      <c r="E498" s="3">
        <f>-</f>
      </c>
      <c r="F498" s="3">
        <f>-</f>
      </c>
      <c r="G498" s="3">
        <f>-</f>
      </c>
      <c r="H498" s="3">
        <f>=ROUND((1000/((1000/E498) + (1000/f498))),2)</f>
      </c>
      <c r="I498" s="3">
        <f>=ROUND((1000/((1000/E498) + (1000/G498))),2)</f>
      </c>
      <c r="J498" s="3">
        <f>=ROUND((1000/((1000/F498) + (1000/G498))),2)</f>
      </c>
    </row>
    <row r="499" xml:space="preserve">
      <c r="A499" s="2" t="str">
        <v>01/05 ВС</v>
      </c>
      <c r="B499" s="2" t="str" xml:space="preserve">
        <v xml:space="preserve">14:00_x000d_
TKP</v>
      </c>
      <c r="C499" s="2" t="str">
        <v>ИСПАНИЯ ИСПАНИЯ</v>
      </c>
      <c r="D499" s="2" t="str">
        <v>Сарагоса (Ж)-Атлетик Бильбао (Б) (Ж)</v>
      </c>
      <c r="E499" s="3">
        <f>-</f>
      </c>
      <c r="F499" s="3">
        <f>-</f>
      </c>
      <c r="G499" s="3">
        <f>-</f>
      </c>
      <c r="H499" s="3">
        <f>=ROUND((1000/((1000/E499) + (1000/f499))),2)</f>
      </c>
      <c r="I499" s="3">
        <f>=ROUND((1000/((1000/E499) + (1000/G499))),2)</f>
      </c>
      <c r="J499" s="3">
        <f>=ROUND((1000/((1000/F499) + (1000/G499))),2)</f>
      </c>
    </row>
    <row r="500" xml:space="preserve">
      <c r="A500" s="2" t="str">
        <v>01/05 ВС</v>
      </c>
      <c r="B500" s="2" t="str" xml:space="preserve">
        <v xml:space="preserve">14:00_x000d_
TKP</v>
      </c>
      <c r="C500" s="2" t="str">
        <v>ИСПАНИЯ ИСПАНИЯ</v>
      </c>
      <c r="D500" s="2" t="str">
        <v>Сигулл (Ж)-Спортинг (Ж)</v>
      </c>
      <c r="E500" s="3">
        <f>-</f>
      </c>
      <c r="F500" s="3">
        <f>-</f>
      </c>
      <c r="G500" s="3">
        <f>-</f>
      </c>
      <c r="H500" s="3">
        <f>=ROUND((1000/((1000/E500) + (1000/f500))),2)</f>
      </c>
      <c r="I500" s="3">
        <f>=ROUND((1000/((1000/E500) + (1000/G500))),2)</f>
      </c>
      <c r="J500" s="3">
        <f>=ROUND((1000/((1000/F500) + (1000/G500))),2)</f>
      </c>
    </row>
    <row r="501" xml:space="preserve">
      <c r="A501" s="2" t="str">
        <v>01/05 ВС</v>
      </c>
      <c r="B501" s="2" t="str" xml:space="preserve">
        <v xml:space="preserve">14:00_x000d_
TKP</v>
      </c>
      <c r="C501" s="2" t="str">
        <v>ИСПАНИЯ ИСПАНИЯ</v>
      </c>
      <c r="D501" s="2" t="str">
        <v>Хуан Гранде (Ж)-Бетис (Б) (Ж)</v>
      </c>
      <c r="E501" s="3">
        <f>-</f>
      </c>
      <c r="F501" s="3">
        <f>-</f>
      </c>
      <c r="G501" s="3">
        <f>-</f>
      </c>
      <c r="H501" s="3">
        <f>=ROUND((1000/((1000/E501) + (1000/f501))),2)</f>
      </c>
      <c r="I501" s="3">
        <f>=ROUND((1000/((1000/E501) + (1000/G501))),2)</f>
      </c>
      <c r="J501" s="3">
        <f>=ROUND((1000/((1000/F501) + (1000/G501))),2)</f>
      </c>
    </row>
    <row r="502">
      <c r="A502" s="2" t="str">
        <v>01/05 ВС</v>
      </c>
      <c r="B502" s="2" t="str">
        <v>16:30</v>
      </c>
      <c r="C502" s="2" t="str">
        <v>ИТАЛИЯ ИТАЛИЯ</v>
      </c>
      <c r="D502" s="2" t="str">
        <v>Лекко-Патрия</v>
      </c>
      <c r="E502" s="3">
        <f>-</f>
      </c>
      <c r="F502" s="3">
        <f>-</f>
      </c>
      <c r="G502" s="3">
        <f>-</f>
      </c>
      <c r="H502" s="3">
        <f>=ROUND((1000/((1000/E502) + (1000/f502))),2)</f>
      </c>
      <c r="I502" s="3">
        <f>=ROUND((1000/((1000/E502) + (1000/G502))),2)</f>
      </c>
      <c r="J502" s="3">
        <f>=ROUND((1000/((1000/F502) + (1000/G502))),2)</f>
      </c>
    </row>
    <row r="503">
      <c r="A503" s="2" t="str">
        <v>01/05 ВС</v>
      </c>
      <c r="B503" s="2" t="str">
        <v>18:00</v>
      </c>
      <c r="C503" s="2" t="str">
        <v>ИТАЛИЯ ИТАЛИЯ</v>
      </c>
      <c r="D503" s="2" t="str">
        <v>Пескара-Каррарезе</v>
      </c>
      <c r="E503" s="3">
        <f>-</f>
      </c>
      <c r="F503" s="3">
        <f>-</f>
      </c>
      <c r="G503" s="3">
        <f>-</f>
      </c>
      <c r="H503" s="3">
        <f>=ROUND((1000/((1000/E503) + (1000/f503))),2)</f>
      </c>
      <c r="I503" s="3">
        <f>=ROUND((1000/((1000/E503) + (1000/G503))),2)</f>
      </c>
      <c r="J503" s="3">
        <f>=ROUND((1000/((1000/F503) + (1000/G503))),2)</f>
      </c>
    </row>
    <row r="504">
      <c r="A504" s="2" t="str">
        <v>01/05 ВС</v>
      </c>
      <c r="B504" s="2" t="str">
        <v>18:30</v>
      </c>
      <c r="C504" s="2" t="str">
        <v>ИТАЛИЯ ИТАЛИЯ</v>
      </c>
      <c r="D504" s="2" t="str">
        <v>Верчелли-Пергокрема</v>
      </c>
      <c r="E504" s="3">
        <f>-</f>
      </c>
      <c r="F504" s="3">
        <f>-</f>
      </c>
      <c r="G504" s="3">
        <f>-</f>
      </c>
      <c r="H504" s="3">
        <f>=ROUND((1000/((1000/E504) + (1000/f504))),2)</f>
      </c>
      <c r="I504" s="3">
        <f>=ROUND((1000/((1000/E504) + (1000/G504))),2)</f>
      </c>
      <c r="J504" s="3">
        <f>=ROUND((1000/((1000/F504) + (1000/G504))),2)</f>
      </c>
    </row>
    <row r="505">
      <c r="A505" s="2" t="str">
        <v>01/05 ВС</v>
      </c>
      <c r="B505" s="2" t="str">
        <v>19:00</v>
      </c>
      <c r="C505" s="2" t="str">
        <v>ИТАЛИЯ ИТАЛИЯ</v>
      </c>
      <c r="D505" s="2" t="str">
        <v>Виртус Франкавилла-Монтероси</v>
      </c>
      <c r="E505" s="3">
        <f>-</f>
      </c>
      <c r="F505" s="3">
        <f>-</f>
      </c>
      <c r="G505" s="3">
        <f>-</f>
      </c>
      <c r="H505" s="3">
        <f>=ROUND((1000/((1000/E505) + (1000/f505))),2)</f>
      </c>
      <c r="I505" s="3">
        <f>=ROUND((1000/((1000/E505) + (1000/G505))),2)</f>
      </c>
      <c r="J505" s="3">
        <f>=ROUND((1000/((1000/F505) + (1000/G505))),2)</f>
      </c>
    </row>
    <row r="506">
      <c r="A506" s="2" t="str">
        <v>01/05 ВС</v>
      </c>
      <c r="B506" s="2" t="str">
        <v>19:30</v>
      </c>
      <c r="C506" s="2" t="str">
        <v>ИТАЛИЯ ИТАЛИЯ</v>
      </c>
      <c r="D506" s="2" t="str">
        <v>Губбио-Лючезе</v>
      </c>
      <c r="E506" s="3">
        <f>-</f>
      </c>
      <c r="F506" s="3">
        <f>-</f>
      </c>
      <c r="G506" s="3">
        <f>-</f>
      </c>
      <c r="H506" s="3">
        <f>=ROUND((1000/((1000/E506) + (1000/f506))),2)</f>
      </c>
      <c r="I506" s="3">
        <f>=ROUND((1000/((1000/E506) + (1000/G506))),2)</f>
      </c>
      <c r="J506" s="3">
        <f>=ROUND((1000/((1000/F506) + (1000/G506))),2)</f>
      </c>
    </row>
    <row r="507">
      <c r="A507" s="2" t="str">
        <v>01/05 ВС</v>
      </c>
      <c r="B507" s="2" t="str">
        <v>19:30</v>
      </c>
      <c r="C507" s="2" t="str">
        <v>ИТАЛИЯ ИТАЛИЯ</v>
      </c>
      <c r="D507" s="2" t="str">
        <v>Монополи-Пичерно</v>
      </c>
      <c r="E507" s="3">
        <f>-</f>
      </c>
      <c r="F507" s="3">
        <f>-</f>
      </c>
      <c r="G507" s="3">
        <f>-</f>
      </c>
      <c r="H507" s="3">
        <f>=ROUND((1000/((1000/E507) + (1000/f507))),2)</f>
      </c>
      <c r="I507" s="3">
        <f>=ROUND((1000/((1000/E507) + (1000/G507))),2)</f>
      </c>
      <c r="J507" s="3">
        <f>=ROUND((1000/((1000/F507) + (1000/G507))),2)</f>
      </c>
    </row>
    <row r="508">
      <c r="A508" s="2" t="str">
        <v>01/05 ВС</v>
      </c>
      <c r="B508" s="2" t="str">
        <v>19:30</v>
      </c>
      <c r="C508" s="2" t="str">
        <v>ИТАЛИЯ ИТАЛИЯ</v>
      </c>
      <c r="D508" s="2" t="str">
        <v>Фоджа-Туррис</v>
      </c>
      <c r="E508" s="3">
        <f>-</f>
      </c>
      <c r="F508" s="3">
        <f>-</f>
      </c>
      <c r="G508" s="3">
        <f>-</f>
      </c>
      <c r="H508" s="3">
        <f>=ROUND((1000/((1000/E508) + (1000/f508))),2)</f>
      </c>
      <c r="I508" s="3">
        <f>=ROUND((1000/((1000/E508) + (1000/G508))),2)</f>
      </c>
      <c r="J508" s="3">
        <f>=ROUND((1000/((1000/F508) + (1000/G508))),2)</f>
      </c>
    </row>
    <row r="509">
      <c r="A509" s="2" t="str">
        <v>01/05 ВС</v>
      </c>
      <c r="B509" s="2" t="str">
        <v>19:30</v>
      </c>
      <c r="C509" s="2" t="str">
        <v>ИТАЛИЯ ИТАЛИЯ</v>
      </c>
      <c r="D509" s="2" t="str">
        <v>Ювентус U23-Пьяченца</v>
      </c>
      <c r="E509" s="3">
        <f>-</f>
      </c>
      <c r="F509" s="3">
        <f>-</f>
      </c>
      <c r="G509" s="3">
        <f>-</f>
      </c>
      <c r="H509" s="3">
        <f>=ROUND((1000/((1000/E509) + (1000/f509))),2)</f>
      </c>
      <c r="I509" s="3">
        <f>=ROUND((1000/((1000/E509) + (1000/G509))),2)</f>
      </c>
      <c r="J509" s="3">
        <f>=ROUND((1000/((1000/F509) + (1000/G509))),2)</f>
      </c>
    </row>
    <row r="510">
      <c r="A510" s="2" t="str">
        <v>01/05 ВС</v>
      </c>
      <c r="B510" s="2" t="str">
        <v>20:00</v>
      </c>
      <c r="C510" s="2" t="str">
        <v>ИТАЛИЯ ИТАЛИЯ</v>
      </c>
      <c r="D510" s="2" t="str">
        <v>Ancona-Matelica-Ольбия</v>
      </c>
      <c r="E510" s="3">
        <f>-</f>
      </c>
      <c r="F510" s="3">
        <f>-</f>
      </c>
      <c r="G510" s="3">
        <f>-</f>
      </c>
      <c r="H510" s="3">
        <f>=ROUND((1000/((1000/E510) + (1000/f510))),2)</f>
      </c>
      <c r="I510" s="3">
        <f>=ROUND((1000/((1000/E510) + (1000/G510))),2)</f>
      </c>
      <c r="J510" s="3">
        <f>=ROUND((1000/((1000/F510) + (1000/G510))),2)</f>
      </c>
    </row>
    <row r="511">
      <c r="A511" s="2" t="str">
        <v>01/05 ВС</v>
      </c>
      <c r="B511" s="2" t="str">
        <v>17:00</v>
      </c>
      <c r="C511" s="2" t="str">
        <v>ИТАЛИЯ ИТАЛИЯ</v>
      </c>
      <c r="D511" s="2" t="str">
        <v>Вадо-Бра</v>
      </c>
      <c r="E511" s="3">
        <f>-</f>
      </c>
      <c r="F511" s="3">
        <f>-</f>
      </c>
      <c r="G511" s="3">
        <f>-</f>
      </c>
      <c r="H511" s="3">
        <f>=ROUND((1000/((1000/E511) + (1000/f511))),2)</f>
      </c>
      <c r="I511" s="3">
        <f>=ROUND((1000/((1000/E511) + (1000/G511))),2)</f>
      </c>
      <c r="J511" s="3">
        <f>=ROUND((1000/((1000/F511) + (1000/G511))),2)</f>
      </c>
    </row>
    <row r="512">
      <c r="A512" s="2" t="str">
        <v>01/05 ВС</v>
      </c>
      <c r="B512" s="2" t="str">
        <v>17:00</v>
      </c>
      <c r="C512" s="2" t="str">
        <v>ИТАЛИЯ ИТАЛИЯ</v>
      </c>
      <c r="D512" s="2" t="str">
        <v>Гоццано-Новара</v>
      </c>
      <c r="E512" s="3">
        <f>-</f>
      </c>
      <c r="F512" s="3">
        <f>-</f>
      </c>
      <c r="G512" s="3">
        <f>-</f>
      </c>
      <c r="H512" s="3">
        <f>=ROUND((1000/((1000/E512) + (1000/f512))),2)</f>
      </c>
      <c r="I512" s="3">
        <f>=ROUND((1000/((1000/E512) + (1000/G512))),2)</f>
      </c>
      <c r="J512" s="3">
        <f>=ROUND((1000/((1000/F512) + (1000/G512))),2)</f>
      </c>
    </row>
    <row r="513">
      <c r="A513" s="2" t="str">
        <v>01/05 ВС</v>
      </c>
      <c r="B513" s="2" t="str">
        <v>17:00</v>
      </c>
      <c r="C513" s="2" t="str">
        <v>ИТАЛИЯ ИТАЛИЯ</v>
      </c>
      <c r="D513" s="2" t="str">
        <v>Кароннезе-Лигорна</v>
      </c>
      <c r="E513" s="3">
        <f>-</f>
      </c>
      <c r="F513" s="3">
        <f>-</f>
      </c>
      <c r="G513" s="3">
        <f>-</f>
      </c>
      <c r="H513" s="3">
        <f>=ROUND((1000/((1000/E513) + (1000/f513))),2)</f>
      </c>
      <c r="I513" s="3">
        <f>=ROUND((1000/((1000/E513) + (1000/G513))),2)</f>
      </c>
      <c r="J513" s="3">
        <f>=ROUND((1000/((1000/F513) + (1000/G513))),2)</f>
      </c>
    </row>
    <row r="514">
      <c r="A514" s="2" t="str">
        <v>01/05 ВС</v>
      </c>
      <c r="B514" s="2" t="str">
        <v>17:00</v>
      </c>
      <c r="C514" s="2" t="str">
        <v>ИТАЛИЯ ИТАЛИЯ</v>
      </c>
      <c r="D514" s="2" t="str">
        <v>Касале-Читта де Варезе</v>
      </c>
      <c r="E514" s="3">
        <f>-</f>
      </c>
      <c r="F514" s="3">
        <f>-</f>
      </c>
      <c r="G514" s="3">
        <f>-</f>
      </c>
      <c r="H514" s="3">
        <f>=ROUND((1000/((1000/E514) + (1000/f514))),2)</f>
      </c>
      <c r="I514" s="3">
        <f>=ROUND((1000/((1000/E514) + (1000/G514))),2)</f>
      </c>
      <c r="J514" s="3">
        <f>=ROUND((1000/((1000/F514) + (1000/G514))),2)</f>
      </c>
    </row>
    <row r="515">
      <c r="A515" s="2" t="str">
        <v>01/05 ВС</v>
      </c>
      <c r="B515" s="2" t="str">
        <v>17:00</v>
      </c>
      <c r="C515" s="2" t="str">
        <v>ИТАЛИЯ ИТАЛИЯ</v>
      </c>
      <c r="D515" s="2" t="str">
        <v>Лаваньезе-Кьери</v>
      </c>
      <c r="E515" s="3">
        <f>-</f>
      </c>
      <c r="F515" s="3">
        <f>-</f>
      </c>
      <c r="G515" s="3">
        <f>-</f>
      </c>
      <c r="H515" s="3">
        <f>=ROUND((1000/((1000/E515) + (1000/f515))),2)</f>
      </c>
      <c r="I515" s="3">
        <f>=ROUND((1000/((1000/E515) + (1000/G515))),2)</f>
      </c>
      <c r="J515" s="3">
        <f>=ROUND((1000/((1000/F515) + (1000/G515))),2)</f>
      </c>
    </row>
    <row r="516">
      <c r="A516" s="2" t="str">
        <v>01/05 ВС</v>
      </c>
      <c r="B516" s="2" t="str">
        <v>17:00</v>
      </c>
      <c r="C516" s="2" t="str">
        <v>ИТАЛИЯ ИТАЛИЯ</v>
      </c>
      <c r="D516" s="2" t="str">
        <v>П.Д.Х.А.Е.-Империя</v>
      </c>
      <c r="E516" s="3">
        <f>-</f>
      </c>
      <c r="F516" s="3">
        <f>-</f>
      </c>
      <c r="G516" s="3">
        <f>-</f>
      </c>
      <c r="H516" s="3">
        <f>=ROUND((1000/((1000/E516) + (1000/f516))),2)</f>
      </c>
      <c r="I516" s="3">
        <f>=ROUND((1000/((1000/E516) + (1000/G516))),2)</f>
      </c>
      <c r="J516" s="3">
        <f>=ROUND((1000/((1000/F516) + (1000/G516))),2)</f>
      </c>
    </row>
    <row r="517">
      <c r="A517" s="2" t="str">
        <v>01/05 ВС</v>
      </c>
      <c r="B517" s="2" t="str">
        <v>17:00</v>
      </c>
      <c r="C517" s="2" t="str">
        <v>ИТАЛИЯ ИТАЛИЯ</v>
      </c>
      <c r="D517" s="2" t="str">
        <v>Салуццо-Асти</v>
      </c>
      <c r="E517" s="3">
        <f>-</f>
      </c>
      <c r="F517" s="3">
        <f>-</f>
      </c>
      <c r="G517" s="3">
        <f>-</f>
      </c>
      <c r="H517" s="3">
        <f>=ROUND((1000/((1000/E517) + (1000/f517))),2)</f>
      </c>
      <c r="I517" s="3">
        <f>=ROUND((1000/((1000/E517) + (1000/G517))),2)</f>
      </c>
      <c r="J517" s="3">
        <f>=ROUND((1000/((1000/F517) + (1000/G517))),2)</f>
      </c>
    </row>
    <row r="518">
      <c r="A518" s="2" t="str">
        <v>01/05 ВС</v>
      </c>
      <c r="B518" s="2" t="str">
        <v>17:00</v>
      </c>
      <c r="C518" s="2" t="str">
        <v>ИТАЛИЯ ИТАЛИЯ</v>
      </c>
      <c r="D518" s="2" t="str">
        <v>Санремезе-Сестри Леванте</v>
      </c>
      <c r="E518" s="3">
        <f>-</f>
      </c>
      <c r="F518" s="3">
        <f>-</f>
      </c>
      <c r="G518" s="3">
        <f>-</f>
      </c>
      <c r="H518" s="3">
        <f>=ROUND((1000/((1000/E518) + (1000/f518))),2)</f>
      </c>
      <c r="I518" s="3">
        <f>=ROUND((1000/((1000/E518) + (1000/G518))),2)</f>
      </c>
      <c r="J518" s="3">
        <f>=ROUND((1000/((1000/F518) + (1000/G518))),2)</f>
      </c>
    </row>
    <row r="519">
      <c r="A519" s="2" t="str">
        <v>01/05 ВС</v>
      </c>
      <c r="B519" s="2" t="str">
        <v>17:00</v>
      </c>
      <c r="C519" s="2" t="str">
        <v>ИТАЛИЯ ИТАЛИЯ</v>
      </c>
      <c r="D519" s="2" t="str">
        <v>Фоссано-Боргозезиа</v>
      </c>
      <c r="E519" s="3">
        <f>-</f>
      </c>
      <c r="F519" s="3">
        <f>-</f>
      </c>
      <c r="G519" s="3">
        <f>-</f>
      </c>
      <c r="H519" s="3">
        <f>=ROUND((1000/((1000/E519) + (1000/f519))),2)</f>
      </c>
      <c r="I519" s="3">
        <f>=ROUND((1000/((1000/E519) + (1000/G519))),2)</f>
      </c>
      <c r="J519" s="3">
        <f>=ROUND((1000/((1000/F519) + (1000/G519))),2)</f>
      </c>
    </row>
    <row r="520">
      <c r="A520" s="2" t="str">
        <v>01/05 ВС</v>
      </c>
      <c r="B520" s="2" t="str">
        <v>17:00</v>
      </c>
      <c r="C520" s="2" t="str">
        <v>ИТАЛИЯ ИТАЛИЯ</v>
      </c>
      <c r="D520" s="2" t="str">
        <v>ХСЛ Дертона-Тичино</v>
      </c>
      <c r="E520" s="3">
        <f>-</f>
      </c>
      <c r="F520" s="3">
        <f>-</f>
      </c>
      <c r="G520" s="3">
        <f>-</f>
      </c>
      <c r="H520" s="3">
        <f>=ROUND((1000/((1000/E520) + (1000/f520))),2)</f>
      </c>
      <c r="I520" s="3">
        <f>=ROUND((1000/((1000/E520) + (1000/G520))),2)</f>
      </c>
      <c r="J520" s="3">
        <f>=ROUND((1000/((1000/F520) + (1000/G520))),2)</f>
      </c>
    </row>
    <row r="521">
      <c r="A521" s="2" t="str">
        <v>01/05 ВС</v>
      </c>
      <c r="B521" s="2" t="str">
        <v>17:00</v>
      </c>
      <c r="C521" s="2" t="str">
        <v>ИТАЛИЯ ИТАЛИЯ</v>
      </c>
      <c r="D521" s="2" t="str">
        <v>Брено-Чизерано-Бергамо</v>
      </c>
      <c r="E521" s="3">
        <f>-</f>
      </c>
      <c r="F521" s="3">
        <f>-</f>
      </c>
      <c r="G521" s="3">
        <f>-</f>
      </c>
      <c r="H521" s="3">
        <f>=ROUND((1000/((1000/E521) + (1000/f521))),2)</f>
      </c>
      <c r="I521" s="3">
        <f>=ROUND((1000/((1000/E521) + (1000/G521))),2)</f>
      </c>
      <c r="J521" s="3">
        <f>=ROUND((1000/((1000/F521) + (1000/G521))),2)</f>
      </c>
    </row>
    <row r="522">
      <c r="A522" s="2" t="str">
        <v>01/05 ВС</v>
      </c>
      <c r="B522" s="2" t="str">
        <v>17:00</v>
      </c>
      <c r="C522" s="2" t="str">
        <v>ИТАЛИЯ ИТАЛИЯ</v>
      </c>
      <c r="D522" s="2" t="str">
        <v>Брузапорто-Арконатезе</v>
      </c>
      <c r="E522" s="3">
        <f>-</f>
      </c>
      <c r="F522" s="3">
        <f>-</f>
      </c>
      <c r="G522" s="3">
        <f>-</f>
      </c>
      <c r="H522" s="3">
        <f>=ROUND((1000/((1000/E522) + (1000/f522))),2)</f>
      </c>
      <c r="I522" s="3">
        <f>=ROUND((1000/((1000/E522) + (1000/G522))),2)</f>
      </c>
      <c r="J522" s="3">
        <f>=ROUND((1000/((1000/F522) + (1000/G522))),2)</f>
      </c>
    </row>
    <row r="523">
      <c r="A523" s="2" t="str">
        <v>01/05 ВС</v>
      </c>
      <c r="B523" s="2" t="str">
        <v>17:00</v>
      </c>
      <c r="C523" s="2" t="str">
        <v>ИТАЛИЯ ИТАЛИЯ</v>
      </c>
      <c r="D523" s="2" t="str">
        <v>Дезенцано Кальвина-Фольгоре Чаратезе</v>
      </c>
      <c r="E523" s="3">
        <f>-</f>
      </c>
      <c r="F523" s="3">
        <f>-</f>
      </c>
      <c r="G523" s="3">
        <f>-</f>
      </c>
      <c r="H523" s="3">
        <f>=ROUND((1000/((1000/E523) + (1000/f523))),2)</f>
      </c>
      <c r="I523" s="3">
        <f>=ROUND((1000/((1000/E523) + (1000/G523))),2)</f>
      </c>
      <c r="J523" s="3">
        <f>=ROUND((1000/((1000/F523) + (1000/G523))),2)</f>
      </c>
    </row>
    <row r="524">
      <c r="A524" s="2" t="str">
        <v>01/05 ВС</v>
      </c>
      <c r="B524" s="2" t="str">
        <v>17:00</v>
      </c>
      <c r="C524" s="2" t="str">
        <v>ИТАЛИЯ ИТАЛИЯ</v>
      </c>
      <c r="D524" s="2" t="str">
        <v>Казатезе-Вис Нова Джуссано</v>
      </c>
      <c r="E524" s="3">
        <f>-</f>
      </c>
      <c r="F524" s="3">
        <f>-</f>
      </c>
      <c r="G524" s="3">
        <f>-</f>
      </c>
      <c r="H524" s="3">
        <f>=ROUND((1000/((1000/E524) + (1000/f524))),2)</f>
      </c>
      <c r="I524" s="3">
        <f>=ROUND((1000/((1000/E524) + (1000/G524))),2)</f>
      </c>
      <c r="J524" s="3">
        <f>=ROUND((1000/((1000/F524) + (1000/G524))),2)</f>
      </c>
    </row>
    <row r="525">
      <c r="A525" s="2" t="str">
        <v>01/05 ВС</v>
      </c>
      <c r="B525" s="2" t="str">
        <v>17:00</v>
      </c>
      <c r="C525" s="2" t="str">
        <v>ИТАЛИЯ ИТАЛИЯ</v>
      </c>
      <c r="D525" s="2" t="str">
        <v>Кастеллансезе-Франчакорта</v>
      </c>
      <c r="E525" s="3">
        <f>-</f>
      </c>
      <c r="F525" s="3">
        <f>-</f>
      </c>
      <c r="G525" s="3">
        <f>-</f>
      </c>
      <c r="H525" s="3">
        <f>=ROUND((1000/((1000/E525) + (1000/f525))),2)</f>
      </c>
      <c r="I525" s="3">
        <f>=ROUND((1000/((1000/E525) + (1000/G525))),2)</f>
      </c>
      <c r="J525" s="3">
        <f>=ROUND((1000/((1000/F525) + (1000/G525))),2)</f>
      </c>
    </row>
    <row r="526">
      <c r="A526" s="2" t="str">
        <v>01/05 ВС</v>
      </c>
      <c r="B526" s="2" t="str">
        <v>17:00</v>
      </c>
      <c r="C526" s="2" t="str">
        <v>ИТАЛИЯ ИТАЛИЯ</v>
      </c>
      <c r="D526" s="2" t="str">
        <v>Крема-Леон</v>
      </c>
      <c r="E526" s="3">
        <f>-</f>
      </c>
      <c r="F526" s="3">
        <f>-</f>
      </c>
      <c r="G526" s="3">
        <f>-</f>
      </c>
      <c r="H526" s="3">
        <f>=ROUND((1000/((1000/E526) + (1000/f526))),2)</f>
      </c>
      <c r="I526" s="3">
        <f>=ROUND((1000/((1000/E526) + (1000/G526))),2)</f>
      </c>
      <c r="J526" s="3">
        <f>=ROUND((1000/((1000/F526) + (1000/G526))),2)</f>
      </c>
    </row>
    <row r="527">
      <c r="A527" s="2" t="str">
        <v>01/05 ВС</v>
      </c>
      <c r="B527" s="2" t="str">
        <v>17:00</v>
      </c>
      <c r="C527" s="2" t="str">
        <v>ИТАЛИЯ ИТАЛИЯ</v>
      </c>
      <c r="D527" s="2" t="str">
        <v>Леньяно-Вилла Валле</v>
      </c>
      <c r="E527" s="3">
        <f>-</f>
      </c>
      <c r="F527" s="3">
        <f>-</f>
      </c>
      <c r="G527" s="3">
        <f>-</f>
      </c>
      <c r="H527" s="3">
        <f>=ROUND((1000/((1000/E527) + (1000/f527))),2)</f>
      </c>
      <c r="I527" s="3">
        <f>=ROUND((1000/((1000/E527) + (1000/G527))),2)</f>
      </c>
      <c r="J527" s="3">
        <f>=ROUND((1000/((1000/F527) + (1000/G527))),2)</f>
      </c>
    </row>
    <row r="528">
      <c r="A528" s="2" t="str">
        <v>01/05 ВС</v>
      </c>
      <c r="B528" s="2" t="str">
        <v>17:00</v>
      </c>
      <c r="C528" s="2" t="str">
        <v>ИТАЛИЯ ИТАЛИЯ</v>
      </c>
      <c r="D528" s="2" t="str">
        <v>Ольджинатезе-Сона</v>
      </c>
      <c r="E528" s="3">
        <f>-</f>
      </c>
      <c r="F528" s="3">
        <f>-</f>
      </c>
      <c r="G528" s="3">
        <f>-</f>
      </c>
      <c r="H528" s="3">
        <f>=ROUND((1000/((1000/E528) + (1000/f528))),2)</f>
      </c>
      <c r="I528" s="3">
        <f>=ROUND((1000/((1000/E528) + (1000/G528))),2)</f>
      </c>
      <c r="J528" s="3">
        <f>=ROUND((1000/((1000/F528) + (1000/G528))),2)</f>
      </c>
    </row>
    <row r="529">
      <c r="A529" s="2" t="str">
        <v>01/05 ВС</v>
      </c>
      <c r="B529" s="2" t="str">
        <v>17:00</v>
      </c>
      <c r="C529" s="2" t="str">
        <v>ИТАЛИЯ ИТАЛИЯ</v>
      </c>
      <c r="D529" s="2" t="str">
        <v>Понте Сан-Пьетро-Караваджо</v>
      </c>
      <c r="E529" s="3">
        <f>-</f>
      </c>
      <c r="F529" s="3">
        <f>-</f>
      </c>
      <c r="G529" s="3">
        <f>-</f>
      </c>
      <c r="H529" s="3">
        <f>=ROUND((1000/((1000/E529) + (1000/f529))),2)</f>
      </c>
      <c r="I529" s="3">
        <f>=ROUND((1000/((1000/E529) + (1000/G529))),2)</f>
      </c>
      <c r="J529" s="3">
        <f>=ROUND((1000/((1000/F529) + (1000/G529))),2)</f>
      </c>
    </row>
    <row r="530">
      <c r="A530" s="2" t="str">
        <v>01/05 ВС</v>
      </c>
      <c r="B530" s="2" t="str">
        <v>17:00</v>
      </c>
      <c r="C530" s="2" t="str">
        <v>ИТАЛИЯ ИТАЛИЯ</v>
      </c>
      <c r="D530" s="2" t="str">
        <v>Сити Нова-Реал Чалепина</v>
      </c>
      <c r="E530" s="3">
        <f>-</f>
      </c>
      <c r="F530" s="3">
        <f>-</f>
      </c>
      <c r="G530" s="3">
        <f>-</f>
      </c>
      <c r="H530" s="3">
        <f>=ROUND((1000/((1000/E530) + (1000/f530))),2)</f>
      </c>
      <c r="I530" s="3">
        <f>=ROUND((1000/((1000/E530) + (1000/G530))),2)</f>
      </c>
      <c r="J530" s="3">
        <f>=ROUND((1000/((1000/F530) + (1000/G530))),2)</f>
      </c>
    </row>
    <row r="531">
      <c r="A531" s="2" t="str">
        <v>01/05 ВС</v>
      </c>
      <c r="B531" s="2" t="str">
        <v>17:00</v>
      </c>
      <c r="C531" s="2" t="str">
        <v>ИТАЛИЯ ИТАЛИЯ</v>
      </c>
      <c r="D531" s="2" t="str">
        <v>Адриезе-Сан-Мартино Спеме</v>
      </c>
      <c r="E531" s="3">
        <f>-</f>
      </c>
      <c r="F531" s="3">
        <f>-</f>
      </c>
      <c r="G531" s="3">
        <f>-</f>
      </c>
      <c r="H531" s="3">
        <f>=ROUND((1000/((1000/E531) + (1000/f531))),2)</f>
      </c>
      <c r="I531" s="3">
        <f>=ROUND((1000/((1000/E531) + (1000/G531))),2)</f>
      </c>
      <c r="J531" s="3">
        <f>=ROUND((1000/((1000/F531) + (1000/G531))),2)</f>
      </c>
    </row>
    <row r="532">
      <c r="A532" s="2" t="str">
        <v>01/05 ВС</v>
      </c>
      <c r="B532" s="2" t="str">
        <v>17:00</v>
      </c>
      <c r="C532" s="2" t="str">
        <v>ИТАЛИЯ ИТАЛИЯ</v>
      </c>
      <c r="D532" s="2" t="str">
        <v>Амброзиана-Спинеа</v>
      </c>
      <c r="E532" s="3">
        <f>-</f>
      </c>
      <c r="F532" s="3">
        <f>-</f>
      </c>
      <c r="G532" s="3">
        <f>-</f>
      </c>
      <c r="H532" s="3">
        <f>=ROUND((1000/((1000/E532) + (1000/f532))),2)</f>
      </c>
      <c r="I532" s="3">
        <f>=ROUND((1000/((1000/E532) + (1000/G532))),2)</f>
      </c>
      <c r="J532" s="3">
        <f>=ROUND((1000/((1000/F532) + (1000/G532))),2)</f>
      </c>
    </row>
    <row r="533">
      <c r="A533" s="2" t="str">
        <v>01/05 ВС</v>
      </c>
      <c r="B533" s="2" t="str">
        <v>17:00</v>
      </c>
      <c r="C533" s="2" t="str">
        <v>ИТАЛИЯ ИТАЛИЯ</v>
      </c>
      <c r="D533" s="2" t="str">
        <v>Кальдиеро Терме-Дельта Ровиго</v>
      </c>
      <c r="E533" s="3">
        <f>-</f>
      </c>
      <c r="F533" s="3">
        <f>-</f>
      </c>
      <c r="G533" s="3">
        <f>-</f>
      </c>
      <c r="H533" s="3">
        <f>=ROUND((1000/((1000/E533) + (1000/f533))),2)</f>
      </c>
      <c r="I533" s="3">
        <f>=ROUND((1000/((1000/E533) + (1000/G533))),2)</f>
      </c>
      <c r="J533" s="3">
        <f>=ROUND((1000/((1000/F533) + (1000/G533))),2)</f>
      </c>
    </row>
    <row r="534">
      <c r="A534" s="2" t="str">
        <v>01/05 ВС</v>
      </c>
      <c r="B534" s="2" t="str">
        <v>17:00</v>
      </c>
      <c r="C534" s="2" t="str">
        <v>ИТАЛИЯ ИТАЛИЯ</v>
      </c>
      <c r="D534" s="2" t="str">
        <v>Картильяно-Местре</v>
      </c>
      <c r="E534" s="3">
        <f>-</f>
      </c>
      <c r="F534" s="3">
        <f>-</f>
      </c>
      <c r="G534" s="3">
        <f>-</f>
      </c>
      <c r="H534" s="3">
        <f>=ROUND((1000/((1000/E534) + (1000/f534))),2)</f>
      </c>
      <c r="I534" s="3">
        <f>=ROUND((1000/((1000/E534) + (1000/G534))),2)</f>
      </c>
      <c r="J534" s="3">
        <f>=ROUND((1000/((1000/F534) + (1000/G534))),2)</f>
      </c>
    </row>
    <row r="535">
      <c r="A535" s="2" t="str">
        <v>01/05 ВС</v>
      </c>
      <c r="B535" s="2" t="str">
        <v>17:00</v>
      </c>
      <c r="C535" s="2" t="str">
        <v>ИТАЛИЯ ИТАЛИЯ</v>
      </c>
      <c r="D535" s="2" t="str">
        <v>Монтебеллуна-Лупаренсе</v>
      </c>
      <c r="E535" s="3">
        <f>-</f>
      </c>
      <c r="F535" s="3">
        <f>-</f>
      </c>
      <c r="G535" s="3">
        <f>-</f>
      </c>
      <c r="H535" s="3">
        <f>=ROUND((1000/((1000/E535) + (1000/f535))),2)</f>
      </c>
      <c r="I535" s="3">
        <f>=ROUND((1000/((1000/E535) + (1000/G535))),2)</f>
      </c>
      <c r="J535" s="3">
        <f>=ROUND((1000/((1000/F535) + (1000/G535))),2)</f>
      </c>
    </row>
    <row r="536">
      <c r="A536" s="2" t="str">
        <v>01/05 ВС</v>
      </c>
      <c r="B536" s="2" t="str">
        <v>17:00</v>
      </c>
      <c r="C536" s="2" t="str">
        <v>ИТАЛИЯ ИТАЛИЯ</v>
      </c>
      <c r="D536" s="2" t="str">
        <v>Унион Клодиенсе-Каттолика</v>
      </c>
      <c r="E536" s="3">
        <f>-</f>
      </c>
      <c r="F536" s="3">
        <f>-</f>
      </c>
      <c r="G536" s="3">
        <f>-</f>
      </c>
      <c r="H536" s="3">
        <f>=ROUND((1000/((1000/E536) + (1000/f536))),2)</f>
      </c>
      <c r="I536" s="3">
        <f>=ROUND((1000/((1000/E536) + (1000/G536))),2)</f>
      </c>
      <c r="J536" s="3">
        <f>=ROUND((1000/((1000/F536) + (1000/G536))),2)</f>
      </c>
    </row>
    <row r="537">
      <c r="A537" s="2" t="str">
        <v>01/05 ВС</v>
      </c>
      <c r="B537" s="2" t="str">
        <v>17:00</v>
      </c>
      <c r="C537" s="2" t="str">
        <v>ИТАЛИЯ ИТАЛИЯ</v>
      </c>
      <c r="D537" s="2" t="str">
        <v>Эсте-АрциньяноКьямпо</v>
      </c>
      <c r="E537" s="3">
        <f>-</f>
      </c>
      <c r="F537" s="3">
        <f>-</f>
      </c>
      <c r="G537" s="3">
        <f>-</f>
      </c>
      <c r="H537" s="3">
        <f>=ROUND((1000/((1000/E537) + (1000/f537))),2)</f>
      </c>
      <c r="I537" s="3">
        <f>=ROUND((1000/((1000/E537) + (1000/G537))),2)</f>
      </c>
      <c r="J537" s="3">
        <f>=ROUND((1000/((1000/F537) + (1000/G537))),2)</f>
      </c>
    </row>
    <row r="538">
      <c r="A538" s="2" t="str">
        <v>01/05 ВС</v>
      </c>
      <c r="B538" s="2" t="str">
        <v>18:00</v>
      </c>
      <c r="C538" s="2" t="str">
        <v>ИТАЛИЯ ИТАЛИЯ</v>
      </c>
      <c r="D538" s="2" t="str">
        <v>Камподарсего-Левико Терме</v>
      </c>
      <c r="E538" s="3">
        <f>-</f>
      </c>
      <c r="F538" s="3">
        <f>-</f>
      </c>
      <c r="G538" s="3">
        <f>-</f>
      </c>
      <c r="H538" s="3">
        <f>=ROUND((1000/((1000/E538) + (1000/f538))),2)</f>
      </c>
      <c r="I538" s="3">
        <f>=ROUND((1000/((1000/E538) + (1000/G538))),2)</f>
      </c>
      <c r="J538" s="3">
        <f>=ROUND((1000/((1000/F538) + (1000/G538))),2)</f>
      </c>
    </row>
    <row r="539">
      <c r="A539" s="2" t="str">
        <v>01/05 ВС</v>
      </c>
      <c r="B539" s="2" t="str">
        <v>18:00</v>
      </c>
      <c r="C539" s="2" t="str">
        <v>ИТАЛИЯ ИТАЛИЯ</v>
      </c>
      <c r="D539" s="2" t="str">
        <v>Гивиццано Борго-Саммаурезе</v>
      </c>
      <c r="E539" s="3">
        <f>-</f>
      </c>
      <c r="F539" s="3">
        <f>-</f>
      </c>
      <c r="G539" s="3">
        <f>-</f>
      </c>
      <c r="H539" s="3">
        <f>=ROUND((1000/((1000/E539) + (1000/f539))),2)</f>
      </c>
      <c r="I539" s="3">
        <f>=ROUND((1000/((1000/E539) + (1000/G539))),2)</f>
      </c>
      <c r="J539" s="3">
        <f>=ROUND((1000/((1000/F539) + (1000/G539))),2)</f>
      </c>
    </row>
    <row r="540">
      <c r="A540" s="2" t="str">
        <v>01/05 ВС</v>
      </c>
      <c r="B540" s="2" t="str">
        <v>17:00</v>
      </c>
      <c r="C540" s="2" t="str">
        <v>ИТАЛИЯ ИТАЛИЯ</v>
      </c>
      <c r="D540" s="2" t="str">
        <v>Ареццо-Каннара</v>
      </c>
      <c r="E540" s="3">
        <f>-</f>
      </c>
      <c r="F540" s="3">
        <f>-</f>
      </c>
      <c r="G540" s="3">
        <f>-</f>
      </c>
      <c r="H540" s="3">
        <f>=ROUND((1000/((1000/E540) + (1000/f540))),2)</f>
      </c>
      <c r="I540" s="3">
        <f>=ROUND((1000/((1000/E540) + (1000/G540))),2)</f>
      </c>
      <c r="J540" s="3">
        <f>=ROUND((1000/((1000/F540) + (1000/G540))),2)</f>
      </c>
    </row>
    <row r="541">
      <c r="A541" s="2" t="str">
        <v>01/05 ВС</v>
      </c>
      <c r="B541" s="2" t="str">
        <v>17:00</v>
      </c>
      <c r="C541" s="2" t="str">
        <v>ИТАЛИЯ ИТАЛИЯ</v>
      </c>
      <c r="D541" s="2" t="str">
        <v>Гаворрано-Унипомеция</v>
      </c>
      <c r="E541" s="3">
        <f>-</f>
      </c>
      <c r="F541" s="3">
        <f>-</f>
      </c>
      <c r="G541" s="3">
        <f>-</f>
      </c>
      <c r="H541" s="3">
        <f>=ROUND((1000/((1000/E541) + (1000/f541))),2)</f>
      </c>
      <c r="I541" s="3">
        <f>=ROUND((1000/((1000/E541) + (1000/G541))),2)</f>
      </c>
      <c r="J541" s="3">
        <f>=ROUND((1000/((1000/F541) + (1000/G541))),2)</f>
      </c>
    </row>
    <row r="542">
      <c r="A542" s="2" t="str">
        <v>01/05 ВС</v>
      </c>
      <c r="B542" s="2" t="str">
        <v>17:00</v>
      </c>
      <c r="C542" s="2" t="str">
        <v>ИТАЛИЯ ИТАЛИЯ</v>
      </c>
      <c r="D542" s="2" t="str">
        <v>Кашина-Риети</v>
      </c>
      <c r="E542" s="3">
        <f>-</f>
      </c>
      <c r="F542" s="3">
        <f>-</f>
      </c>
      <c r="G542" s="3">
        <f>-</f>
      </c>
      <c r="H542" s="3">
        <f>=ROUND((1000/((1000/E542) + (1000/f542))),2)</f>
      </c>
      <c r="I542" s="3">
        <f>=ROUND((1000/((1000/E542) + (1000/G542))),2)</f>
      </c>
      <c r="J542" s="3">
        <f>=ROUND((1000/((1000/F542) + (1000/G542))),2)</f>
      </c>
    </row>
    <row r="543">
      <c r="A543" s="2" t="str">
        <v>01/05 ВС</v>
      </c>
      <c r="B543" s="2" t="str">
        <v>17:00</v>
      </c>
      <c r="C543" s="2" t="str">
        <v>ИТАЛИЯ ИТАЛИЯ</v>
      </c>
      <c r="D543" s="2" t="str">
        <v>Монтеспаккато-Трестина</v>
      </c>
      <c r="E543" s="3">
        <f>-</f>
      </c>
      <c r="F543" s="3">
        <f>-</f>
      </c>
      <c r="G543" s="3">
        <f>-</f>
      </c>
      <c r="H543" s="3">
        <f>=ROUND((1000/((1000/E543) + (1000/f543))),2)</f>
      </c>
      <c r="I543" s="3">
        <f>=ROUND((1000/((1000/E543) + (1000/G543))),2)</f>
      </c>
      <c r="J543" s="3">
        <f>=ROUND((1000/((1000/F543) + (1000/G543))),2)</f>
      </c>
    </row>
    <row r="544">
      <c r="A544" s="2" t="str">
        <v>01/05 ВС</v>
      </c>
      <c r="B544" s="2" t="str">
        <v>17:00</v>
      </c>
      <c r="C544" s="2" t="str">
        <v>ИТАЛИЯ ИТАЛИЯ</v>
      </c>
      <c r="D544" s="2" t="str">
        <v>Про Ливорно-Поггибонси</v>
      </c>
      <c r="E544" s="3">
        <f>-</f>
      </c>
      <c r="F544" s="3">
        <f>-</f>
      </c>
      <c r="G544" s="3">
        <f>-</f>
      </c>
      <c r="H544" s="3">
        <f>=ROUND((1000/((1000/E544) + (1000/f544))),2)</f>
      </c>
      <c r="I544" s="3">
        <f>=ROUND((1000/((1000/E544) + (1000/G544))),2)</f>
      </c>
      <c r="J544" s="3">
        <f>=ROUND((1000/((1000/F544) + (1000/G544))),2)</f>
      </c>
    </row>
    <row r="545">
      <c r="A545" s="2" t="str">
        <v>01/05 ВС</v>
      </c>
      <c r="B545" s="2" t="str">
        <v>17:00</v>
      </c>
      <c r="C545" s="2" t="str">
        <v>ИТАЛИЯ ИТАЛИЯ</v>
      </c>
      <c r="D545" s="2" t="str">
        <v>Сан-Донато-Скандиччи</v>
      </c>
      <c r="E545" s="3">
        <f>-</f>
      </c>
      <c r="F545" s="3">
        <f>-</f>
      </c>
      <c r="G545" s="3">
        <f>-</f>
      </c>
      <c r="H545" s="3">
        <f>=ROUND((1000/((1000/E545) + (1000/f545))),2)</f>
      </c>
      <c r="I545" s="3">
        <f>=ROUND((1000/((1000/E545) + (1000/G545))),2)</f>
      </c>
      <c r="J545" s="3">
        <f>=ROUND((1000/((1000/F545) + (1000/G545))),2)</f>
      </c>
    </row>
    <row r="546">
      <c r="A546" s="2" t="str">
        <v>01/05 ВС</v>
      </c>
      <c r="B546" s="2" t="str">
        <v>17:00</v>
      </c>
      <c r="C546" s="2" t="str">
        <v>ИТАЛИЯ ИТАЛИЯ</v>
      </c>
      <c r="D546" s="2" t="str">
        <v>Санджованнезе-Фламиния</v>
      </c>
      <c r="E546" s="3">
        <f>-</f>
      </c>
      <c r="F546" s="3">
        <f>-</f>
      </c>
      <c r="G546" s="3">
        <f>-</f>
      </c>
      <c r="H546" s="3">
        <f>=ROUND((1000/((1000/E546) + (1000/f546))),2)</f>
      </c>
      <c r="I546" s="3">
        <f>=ROUND((1000/((1000/E546) + (1000/G546))),2)</f>
      </c>
      <c r="J546" s="3">
        <f>=ROUND((1000/((1000/F546) + (1000/G546))),2)</f>
      </c>
    </row>
    <row r="547">
      <c r="A547" s="2" t="str">
        <v>01/05 ВС</v>
      </c>
      <c r="B547" s="2" t="str">
        <v>17:00</v>
      </c>
      <c r="C547" s="2" t="str">
        <v>ИТАЛИЯ ИТАЛИЯ</v>
      </c>
      <c r="D547" s="2" t="str">
        <v>Тиферно Лерчи-Пьянезе</v>
      </c>
      <c r="E547" s="3">
        <f>-</f>
      </c>
      <c r="F547" s="3">
        <f>-</f>
      </c>
      <c r="G547" s="3">
        <f>-</f>
      </c>
      <c r="H547" s="3">
        <f>=ROUND((1000/((1000/E547) + (1000/f547))),2)</f>
      </c>
      <c r="I547" s="3">
        <f>=ROUND((1000/((1000/E547) + (1000/G547))),2)</f>
      </c>
      <c r="J547" s="3">
        <f>=ROUND((1000/((1000/F547) + (1000/G547))),2)</f>
      </c>
    </row>
    <row r="548">
      <c r="A548" s="2" t="str">
        <v>01/05 ВС</v>
      </c>
      <c r="B548" s="2" t="str">
        <v>17:00</v>
      </c>
      <c r="C548" s="2" t="str">
        <v>ИТАЛИЯ ИТАЛИЯ</v>
      </c>
      <c r="D548" s="2" t="str">
        <v>Фолиньо-Лорнано Бадессе</v>
      </c>
      <c r="E548" s="3">
        <f>-</f>
      </c>
      <c r="F548" s="3">
        <f>-</f>
      </c>
      <c r="G548" s="3">
        <f>-</f>
      </c>
      <c r="H548" s="3">
        <f>=ROUND((1000/((1000/E548) + (1000/f548))),2)</f>
      </c>
      <c r="I548" s="3">
        <f>=ROUND((1000/((1000/E548) + (1000/G548))),2)</f>
      </c>
      <c r="J548" s="3">
        <f>=ROUND((1000/((1000/F548) + (1000/G548))),2)</f>
      </c>
    </row>
    <row r="549">
      <c r="A549" s="2" t="str">
        <v>01/05 ВС</v>
      </c>
      <c r="B549" s="2" t="str">
        <v>17:00</v>
      </c>
      <c r="C549" s="2" t="str">
        <v>ИТАЛИЯ ИТАЛИЯ</v>
      </c>
      <c r="D549" s="2" t="str">
        <v>Монтеджорджо-Вастоджирарди</v>
      </c>
      <c r="E549" s="3">
        <f>-</f>
      </c>
      <c r="F549" s="3">
        <f>-</f>
      </c>
      <c r="G549" s="3">
        <f>-</f>
      </c>
      <c r="H549" s="3">
        <f>=ROUND((1000/((1000/E549) + (1000/f549))),2)</f>
      </c>
      <c r="I549" s="3">
        <f>=ROUND((1000/((1000/E549) + (1000/G549))),2)</f>
      </c>
      <c r="J549" s="3">
        <f>=ROUND((1000/((1000/F549) + (1000/G549))),2)</f>
      </c>
    </row>
    <row r="550">
      <c r="A550" s="2" t="str">
        <v>01/05 ВС</v>
      </c>
      <c r="B550" s="2" t="str">
        <v>17:00</v>
      </c>
      <c r="C550" s="2" t="str">
        <v>ИТАЛИЯ ИТАЛИЯ</v>
      </c>
      <c r="D550" s="2" t="str">
        <v>Арцакена-Вис Артена</v>
      </c>
      <c r="E550" s="3">
        <f>-</f>
      </c>
      <c r="F550" s="3">
        <f>-</f>
      </c>
      <c r="G550" s="3">
        <f>-</f>
      </c>
      <c r="H550" s="3">
        <f>=ROUND((1000/((1000/E550) + (1000/f550))),2)</f>
      </c>
      <c r="I550" s="3">
        <f>=ROUND((1000/((1000/E550) + (1000/G550))),2)</f>
      </c>
      <c r="J550" s="3">
        <f>=ROUND((1000/((1000/F550) + (1000/G550))),2)</f>
      </c>
    </row>
    <row r="551">
      <c r="A551" s="2" t="str">
        <v>01/05 ВС</v>
      </c>
      <c r="B551" s="2" t="str">
        <v>17:00</v>
      </c>
      <c r="C551" s="2" t="str">
        <v>ИТАЛИЯ ИТАЛИЯ</v>
      </c>
      <c r="D551" s="2" t="str">
        <v>Кассино-Афраголезе</v>
      </c>
      <c r="E551" s="3">
        <f>-</f>
      </c>
      <c r="F551" s="3">
        <f>-</f>
      </c>
      <c r="G551" s="3">
        <f>-</f>
      </c>
      <c r="H551" s="3">
        <f>=ROUND((1000/((1000/E551) + (1000/f551))),2)</f>
      </c>
      <c r="I551" s="3">
        <f>=ROUND((1000/((1000/E551) + (1000/G551))),2)</f>
      </c>
      <c r="J551" s="3">
        <f>=ROUND((1000/((1000/F551) + (1000/G551))),2)</f>
      </c>
    </row>
    <row r="552">
      <c r="A552" s="2" t="str">
        <v>01/05 ВС</v>
      </c>
      <c r="B552" s="2" t="str">
        <v>17:00</v>
      </c>
      <c r="C552" s="2" t="str">
        <v>ИТАЛИЯ ИТАЛИЯ</v>
      </c>
      <c r="D552" s="2" t="str">
        <v>Остиа Маре-Нуова Флорида</v>
      </c>
      <c r="E552" s="3">
        <f>-</f>
      </c>
      <c r="F552" s="3">
        <f>-</f>
      </c>
      <c r="G552" s="3">
        <f>-</f>
      </c>
      <c r="H552" s="3">
        <f>=ROUND((1000/((1000/E552) + (1000/f552))),2)</f>
      </c>
      <c r="I552" s="3">
        <f>=ROUND((1000/((1000/E552) + (1000/G552))),2)</f>
      </c>
      <c r="J552" s="3">
        <f>=ROUND((1000/((1000/F552) + (1000/G552))),2)</f>
      </c>
    </row>
    <row r="553">
      <c r="A553" s="2" t="str">
        <v>01/05 ВС</v>
      </c>
      <c r="B553" s="2" t="str">
        <v>17:00</v>
      </c>
      <c r="C553" s="2" t="str">
        <v>ИТАЛИЯ ИТАЛИЯ</v>
      </c>
      <c r="D553" s="2" t="str">
        <v>Сорренто-Казертана</v>
      </c>
      <c r="E553" s="3">
        <f>-</f>
      </c>
      <c r="F553" s="3">
        <f>-</f>
      </c>
      <c r="G553" s="3">
        <f>-</f>
      </c>
      <c r="H553" s="3">
        <f>=ROUND((1000/((1000/E553) + (1000/f553))),2)</f>
      </c>
      <c r="I553" s="3">
        <f>=ROUND((1000/((1000/E553) + (1000/G553))),2)</f>
      </c>
      <c r="J553" s="3">
        <f>=ROUND((1000/((1000/F553) + (1000/G553))),2)</f>
      </c>
    </row>
    <row r="554">
      <c r="A554" s="2" t="str">
        <v>01/05 ВС</v>
      </c>
      <c r="B554" s="2" t="str">
        <v>17:00</v>
      </c>
      <c r="C554" s="2" t="str">
        <v>ИТАЛИЯ ИТАЛИЯ</v>
      </c>
      <c r="D554" s="2" t="str">
        <v>Франкавилла-Виртус Матино</v>
      </c>
      <c r="E554" s="3">
        <f>-</f>
      </c>
      <c r="F554" s="3">
        <f>-</f>
      </c>
      <c r="G554" s="3">
        <f>-</f>
      </c>
      <c r="H554" s="3">
        <f>=ROUND((1000/((1000/E554) + (1000/f554))),2)</f>
      </c>
      <c r="I554" s="3">
        <f>=ROUND((1000/((1000/E554) + (1000/G554))),2)</f>
      </c>
      <c r="J554" s="3">
        <f>=ROUND((1000/((1000/F554) + (1000/G554))),2)</f>
      </c>
    </row>
    <row r="555">
      <c r="A555" s="2" t="str">
        <v>01/05 ВС</v>
      </c>
      <c r="B555" s="2" t="str">
        <v>17:30</v>
      </c>
      <c r="C555" s="2" t="str">
        <v>ИТАЛИЯ ИТАЛИЯ</v>
      </c>
      <c r="D555" s="2" t="str">
        <v>Сан Джорджио-Бишелье</v>
      </c>
      <c r="E555" s="3">
        <f>-</f>
      </c>
      <c r="F555" s="3">
        <f>-</f>
      </c>
      <c r="G555" s="3">
        <f>-</f>
      </c>
      <c r="H555" s="3">
        <f>=ROUND((1000/((1000/E555) + (1000/f555))),2)</f>
      </c>
      <c r="I555" s="3">
        <f>=ROUND((1000/((1000/E555) + (1000/G555))),2)</f>
      </c>
      <c r="J555" s="3">
        <f>=ROUND((1000/((1000/F555) + (1000/G555))),2)</f>
      </c>
    </row>
    <row r="556">
      <c r="A556" s="2" t="str">
        <v>01/05 ВС</v>
      </c>
      <c r="B556" s="2" t="str">
        <v>20:30</v>
      </c>
      <c r="C556" s="2" t="str">
        <v>ИТАЛИЯ ИТАЛИЯ</v>
      </c>
      <c r="D556" s="2" t="str">
        <v>Мольфетта Кальчо-Гравина</v>
      </c>
      <c r="E556" s="3">
        <f>-</f>
      </c>
      <c r="F556" s="3">
        <f>-</f>
      </c>
      <c r="G556" s="3">
        <f>-</f>
      </c>
      <c r="H556" s="3">
        <f>=ROUND((1000/((1000/E556) + (1000/f556))),2)</f>
      </c>
      <c r="I556" s="3">
        <f>=ROUND((1000/((1000/E556) + (1000/G556))),2)</f>
      </c>
      <c r="J556" s="3">
        <f>=ROUND((1000/((1000/F556) + (1000/G556))),2)</f>
      </c>
    </row>
    <row r="557">
      <c r="A557" s="2" t="str">
        <v>01/05 ВС</v>
      </c>
      <c r="B557" s="2" t="str">
        <v>17:00</v>
      </c>
      <c r="C557" s="2" t="str">
        <v>ИТАЛИЯ ИТАЛИЯ</v>
      </c>
      <c r="D557" s="2" t="str">
        <v>Ачиреале-Ликата</v>
      </c>
      <c r="E557" s="3">
        <f>-</f>
      </c>
      <c r="F557" s="3">
        <f>-</f>
      </c>
      <c r="G557" s="3">
        <f>-</f>
      </c>
      <c r="H557" s="3">
        <f>=ROUND((1000/((1000/E557) + (1000/f557))),2)</f>
      </c>
      <c r="I557" s="3">
        <f>=ROUND((1000/((1000/E557) + (1000/G557))),2)</f>
      </c>
      <c r="J557" s="3">
        <f>=ROUND((1000/((1000/F557) + (1000/G557))),2)</f>
      </c>
    </row>
    <row r="558">
      <c r="A558" s="2" t="str">
        <v>01/05 ВС</v>
      </c>
      <c r="B558" s="2" t="str">
        <v>17:00</v>
      </c>
      <c r="C558" s="2" t="str">
        <v>ИТАЛИЯ ИТАЛИЯ</v>
      </c>
      <c r="D558" s="2" t="str">
        <v>Кастровиллари-Ренде</v>
      </c>
      <c r="E558" s="3">
        <f>-</f>
      </c>
      <c r="F558" s="3">
        <f>-</f>
      </c>
      <c r="G558" s="3">
        <f>-</f>
      </c>
      <c r="H558" s="3">
        <f>=ROUND((1000/((1000/E558) + (1000/f558))),2)</f>
      </c>
      <c r="I558" s="3">
        <f>=ROUND((1000/((1000/E558) + (1000/G558))),2)</f>
      </c>
      <c r="J558" s="3">
        <f>=ROUND((1000/((1000/F558) + (1000/G558))),2)</f>
      </c>
    </row>
    <row r="559">
      <c r="A559" s="2" t="str">
        <v>01/05 ВС</v>
      </c>
      <c r="B559" s="2" t="str">
        <v>18:00</v>
      </c>
      <c r="C559" s="2" t="str">
        <v>ИТАЛИЯ ИТАЛИЯ</v>
      </c>
      <c r="D559" s="2" t="str">
        <v>Санкатальдезе-Троина</v>
      </c>
      <c r="E559" s="3">
        <f>-</f>
      </c>
      <c r="F559" s="3">
        <f>-</f>
      </c>
      <c r="G559" s="3">
        <f>-</f>
      </c>
      <c r="H559" s="3">
        <f>=ROUND((1000/((1000/E559) + (1000/f559))),2)</f>
      </c>
      <c r="I559" s="3">
        <f>=ROUND((1000/((1000/E559) + (1000/G559))),2)</f>
      </c>
      <c r="J559" s="3">
        <f>=ROUND((1000/((1000/F559) + (1000/G559))),2)</f>
      </c>
    </row>
    <row r="560">
      <c r="A560" s="2" t="str">
        <v>01/05 ВС</v>
      </c>
      <c r="B560" s="2" t="str">
        <v>17:00</v>
      </c>
      <c r="C560" s="2" t="str">
        <v>ИТАЛИЯ ИТАЛИЯ</v>
      </c>
      <c r="D560" s="2" t="str">
        <v>Аудаче Чериньола-Читтановезе</v>
      </c>
      <c r="E560" s="3">
        <f>-</f>
      </c>
      <c r="F560" s="3">
        <f>-</f>
      </c>
      <c r="G560" s="3">
        <f>-</f>
      </c>
      <c r="H560" s="3">
        <f>=ROUND((1000/((1000/E560) + (1000/f560))),2)</f>
      </c>
      <c r="I560" s="3">
        <f>=ROUND((1000/((1000/E560) + (1000/G560))),2)</f>
      </c>
      <c r="J560" s="3">
        <f>=ROUND((1000/((1000/F560) + (1000/G560))),2)</f>
      </c>
    </row>
    <row r="561">
      <c r="A561" s="2" t="str">
        <v>01/05 ВС</v>
      </c>
      <c r="B561" s="2" t="str">
        <v>12:45</v>
      </c>
      <c r="C561" s="2" t="str">
        <v>ИТАЛИЯ ИТАЛИЯ</v>
      </c>
      <c r="D561" s="2" t="str">
        <v>Рома U19-Кальяри U19</v>
      </c>
      <c r="E561" s="3">
        <f>-</f>
      </c>
      <c r="F561" s="3">
        <f>-</f>
      </c>
      <c r="G561" s="3">
        <f>-</f>
      </c>
      <c r="H561" s="3">
        <f>=ROUND((1000/((1000/E561) + (1000/f561))),2)</f>
      </c>
      <c r="I561" s="3">
        <f>=ROUND((1000/((1000/E561) + (1000/G561))),2)</f>
      </c>
      <c r="J561" s="3">
        <f>=ROUND((1000/((1000/F561) + (1000/G561))),2)</f>
      </c>
    </row>
    <row r="562" xml:space="preserve">
      <c r="A562" s="2" t="str">
        <v>01/05 ВС</v>
      </c>
      <c r="B562" s="2" t="str" xml:space="preserve">
        <v xml:space="preserve">15:00_x000d_
TKP</v>
      </c>
      <c r="C562" s="2" t="str">
        <v>ИТАЛИЯ ИТАЛИЯ</v>
      </c>
      <c r="D562" s="2" t="str">
        <v>Рома (Ж)-Кортефранка (Ж)</v>
      </c>
      <c r="E562" s="3">
        <f>-</f>
      </c>
      <c r="F562" s="3">
        <f>-</f>
      </c>
      <c r="G562" s="3">
        <f>-</f>
      </c>
      <c r="H562" s="3">
        <f>=ROUND((1000/((1000/E562) + (1000/f562))),2)</f>
      </c>
      <c r="I562" s="3">
        <f>=ROUND((1000/((1000/E562) + (1000/G562))),2)</f>
      </c>
      <c r="J562" s="3">
        <f>=ROUND((1000/((1000/F562) + (1000/G562))),2)</f>
      </c>
    </row>
    <row r="563" xml:space="preserve">
      <c r="A563" s="2" t="str">
        <v>01/05 ВС</v>
      </c>
      <c r="B563" s="2" t="str" xml:space="preserve">
        <v xml:space="preserve">16:30_x000d_
TKP</v>
      </c>
      <c r="C563" s="2" t="str">
        <v>ИТАЛИЯ ИТАЛИЯ</v>
      </c>
      <c r="D563" s="2" t="str">
        <v>Торрес (Ж)-Ак. Сан-Марино (Ж)</v>
      </c>
      <c r="E563" s="3">
        <f>-</f>
      </c>
      <c r="F563" s="3">
        <f>-</f>
      </c>
      <c r="G563" s="3">
        <f>-</f>
      </c>
      <c r="H563" s="3">
        <f>=ROUND((1000/((1000/E563) + (1000/f563))),2)</f>
      </c>
      <c r="I563" s="3">
        <f>=ROUND((1000/((1000/E563) + (1000/G563))),2)</f>
      </c>
      <c r="J563" s="3">
        <f>=ROUND((1000/((1000/F563) + (1000/G563))),2)</f>
      </c>
    </row>
    <row r="564" xml:space="preserve">
      <c r="A564" s="2" t="str">
        <v>01/05 ВС</v>
      </c>
      <c r="B564" s="2" t="str" xml:space="preserve">
        <v xml:space="preserve">17:00_x000d_
TKP</v>
      </c>
      <c r="C564" s="2" t="str">
        <v>ИТАЛИЯ ИТАЛИЯ</v>
      </c>
      <c r="D564" s="2" t="str">
        <v>Про Сесто (Ж)-Кьево Верона (Ж)</v>
      </c>
      <c r="E564" s="3">
        <f>-</f>
      </c>
      <c r="F564" s="3">
        <f>-</f>
      </c>
      <c r="G564" s="3">
        <f>-</f>
      </c>
      <c r="H564" s="3">
        <f>=ROUND((1000/((1000/E564) + (1000/f564))),2)</f>
      </c>
      <c r="I564" s="3">
        <f>=ROUND((1000/((1000/E564) + (1000/G564))),2)</f>
      </c>
      <c r="J564" s="3">
        <f>=ROUND((1000/((1000/F564) + (1000/G564))),2)</f>
      </c>
    </row>
    <row r="565" xml:space="preserve">
      <c r="A565" s="2" t="str">
        <v>01/05 ВС</v>
      </c>
      <c r="B565" s="2" t="str" xml:space="preserve">
        <v xml:space="preserve">17:00_x000d_
TKP</v>
      </c>
      <c r="C565" s="2" t="str">
        <v>ИТАЛИЯ ИТАЛИЯ</v>
      </c>
      <c r="D565" s="2" t="str">
        <v>Равенна (Ж)-Брешия (Ж)</v>
      </c>
      <c r="E565" s="3">
        <f>-</f>
      </c>
      <c r="F565" s="3">
        <f>-</f>
      </c>
      <c r="G565" s="3">
        <f>-</f>
      </c>
      <c r="H565" s="3">
        <f>=ROUND((1000/((1000/E565) + (1000/f565))),2)</f>
      </c>
      <c r="I565" s="3">
        <f>=ROUND((1000/((1000/E565) + (1000/G565))),2)</f>
      </c>
      <c r="J565" s="3">
        <f>=ROUND((1000/((1000/F565) + (1000/G565))),2)</f>
      </c>
    </row>
    <row r="566" xml:space="preserve">
      <c r="A566" s="2" t="str">
        <v>01/05 ВС</v>
      </c>
      <c r="B566" s="2" t="str" xml:space="preserve">
        <v xml:space="preserve">17:00_x000d_
TKP</v>
      </c>
      <c r="C566" s="2" t="str">
        <v>ИТАЛИЯ ИТАЛИЯ</v>
      </c>
      <c r="D566" s="2" t="str">
        <v>Чезена (Ж)-Таваньяччо (Ж)</v>
      </c>
      <c r="E566" s="3">
        <f>-</f>
      </c>
      <c r="F566" s="3">
        <f>-</f>
      </c>
      <c r="G566" s="3">
        <f>-</f>
      </c>
      <c r="H566" s="3">
        <f>=ROUND((1000/((1000/E566) + (1000/f566))),2)</f>
      </c>
      <c r="I566" s="3">
        <f>=ROUND((1000/((1000/E566) + (1000/G566))),2)</f>
      </c>
      <c r="J566" s="3">
        <f>=ROUND((1000/((1000/F566) + (1000/G566))),2)</f>
      </c>
    </row>
    <row r="567" xml:space="preserve">
      <c r="A567" s="2" t="str">
        <v>01/05 ВС</v>
      </c>
      <c r="B567" s="2" t="str" xml:space="preserve">
        <v xml:space="preserve">17:00_x000d_
TKP</v>
      </c>
      <c r="C567" s="2" t="str">
        <v>ИТАЛИЯ ИТАЛИЯ</v>
      </c>
      <c r="D567" s="2" t="str">
        <v>Читтаделла (Ж)-Комо (Ж)</v>
      </c>
      <c r="E567" s="3">
        <f>-</f>
      </c>
      <c r="F567" s="3">
        <f>-</f>
      </c>
      <c r="G567" s="3">
        <f>-</f>
      </c>
      <c r="H567" s="3">
        <f>=ROUND((1000/((1000/E567) + (1000/f567))),2)</f>
      </c>
      <c r="I567" s="3">
        <f>=ROUND((1000/((1000/E567) + (1000/G567))),2)</f>
      </c>
      <c r="J567" s="3">
        <f>=ROUND((1000/((1000/F567) + (1000/G567))),2)</f>
      </c>
    </row>
    <row r="568" xml:space="preserve">
      <c r="A568" s="2" t="str">
        <v>01/05 ВС</v>
      </c>
      <c r="B568" s="2" t="str" xml:space="preserve">
        <v xml:space="preserve">19:00_x000d_
TKP</v>
      </c>
      <c r="C568" s="2" t="str">
        <v>ИТАЛИЯ ИТАЛИЯ</v>
      </c>
      <c r="D568" s="2" t="str">
        <v>Палермо (Ж)-Pink Bari (Ж)</v>
      </c>
      <c r="E568" s="3">
        <f>-</f>
      </c>
      <c r="F568" s="3">
        <f>-</f>
      </c>
      <c r="G568" s="3">
        <f>-</f>
      </c>
      <c r="H568" s="3">
        <f>=ROUND((1000/((1000/E568) + (1000/f568))),2)</f>
      </c>
      <c r="I568" s="3">
        <f>=ROUND((1000/((1000/E568) + (1000/G568))),2)</f>
      </c>
      <c r="J568" s="3">
        <f>=ROUND((1000/((1000/F568) + (1000/G568))),2)</f>
      </c>
    </row>
    <row r="569">
      <c r="A569" s="2" t="str">
        <v>01/05 ВС</v>
      </c>
      <c r="B569" s="2" t="str">
        <v>14:00</v>
      </c>
      <c r="C569" s="2" t="str">
        <v>ИТАЛИЯ ИТАЛИЯ</v>
      </c>
      <c r="D569" s="2" t="str">
        <v>Ювентус (Ж)-Милан (Ж)</v>
      </c>
      <c r="E569" s="3">
        <f>-</f>
      </c>
      <c r="F569" s="3">
        <f>-</f>
      </c>
      <c r="G569" s="3">
        <f>-</f>
      </c>
      <c r="H569" s="3">
        <f>=ROUND((1000/((1000/E569) + (1000/f569))),2)</f>
      </c>
      <c r="I569" s="3">
        <f>=ROUND((1000/((1000/E569) + (1000/G569))),2)</f>
      </c>
      <c r="J569" s="3">
        <f>=ROUND((1000/((1000/F569) + (1000/G569))),2)</f>
      </c>
    </row>
    <row r="570">
      <c r="A570" s="2" t="str">
        <v>01/05 ВС</v>
      </c>
      <c r="B570" s="2" t="str">
        <v>14:00</v>
      </c>
      <c r="C570" s="2" t="str">
        <v>КАЗАХСТАН КАЗАХСТАН</v>
      </c>
      <c r="D570" s="2" t="str">
        <v>Астана-Туран</v>
      </c>
      <c r="E570" s="3">
        <f>-</f>
      </c>
      <c r="F570" s="3">
        <f>-</f>
      </c>
      <c r="G570" s="3">
        <f>-</f>
      </c>
      <c r="H570" s="3">
        <f>=ROUND((1000/((1000/E570) + (1000/f570))),2)</f>
      </c>
      <c r="I570" s="3">
        <f>=ROUND((1000/((1000/E570) + (1000/G570))),2)</f>
      </c>
      <c r="J570" s="3">
        <f>=ROUND((1000/((1000/F570) + (1000/G570))),2)</f>
      </c>
    </row>
    <row r="571">
      <c r="A571" s="2" t="str">
        <v>01/05 ВС</v>
      </c>
      <c r="B571" s="2" t="str">
        <v>16:00</v>
      </c>
      <c r="C571" s="2" t="str">
        <v>КАЗАХСТАН КАЗАХСТАН</v>
      </c>
      <c r="D571" s="2" t="str">
        <v>Атырау-Ордабасы</v>
      </c>
      <c r="E571" s="3">
        <f>-</f>
      </c>
      <c r="F571" s="3">
        <f>-</f>
      </c>
      <c r="G571" s="3">
        <f>-</f>
      </c>
      <c r="H571" s="3">
        <f>=ROUND((1000/((1000/E571) + (1000/f571))),2)</f>
      </c>
      <c r="I571" s="3">
        <f>=ROUND((1000/((1000/E571) + (1000/G571))),2)</f>
      </c>
      <c r="J571" s="3">
        <f>=ROUND((1000/((1000/F571) + (1000/G571))),2)</f>
      </c>
    </row>
    <row r="572">
      <c r="A572" s="2" t="str">
        <v>01/05 ВС</v>
      </c>
      <c r="B572" s="2" t="str">
        <v>17:00</v>
      </c>
      <c r="C572" s="2" t="str">
        <v>КАМЕРУН КАМЕРУН</v>
      </c>
      <c r="D572" s="2" t="str">
        <v>Яфут-Котонспорт</v>
      </c>
      <c r="E572" s="3">
        <f>-</f>
      </c>
      <c r="F572" s="3">
        <f>-</f>
      </c>
      <c r="G572" s="3">
        <f>-</f>
      </c>
      <c r="H572" s="3">
        <f>=ROUND((1000/((1000/E572) + (1000/f572))),2)</f>
      </c>
      <c r="I572" s="3">
        <f>=ROUND((1000/((1000/E572) + (1000/G572))),2)</f>
      </c>
      <c r="J572" s="3">
        <f>=ROUND((1000/((1000/F572) + (1000/G572))),2)</f>
      </c>
    </row>
    <row r="573">
      <c r="A573" s="2" t="str">
        <v>01/05 ВС</v>
      </c>
      <c r="B573" s="2" t="str">
        <v>19:00</v>
      </c>
      <c r="C573" s="2" t="str">
        <v>КАМЕРУН КАМЕРУН</v>
      </c>
      <c r="D573" s="2" t="str">
        <v>Нью Стар-Эдинг Спорт</v>
      </c>
      <c r="E573" s="3">
        <f>-</f>
      </c>
      <c r="F573" s="3">
        <f>-</f>
      </c>
      <c r="G573" s="3">
        <f>-</f>
      </c>
      <c r="H573" s="3">
        <f>=ROUND((1000/((1000/E573) + (1000/f573))),2)</f>
      </c>
      <c r="I573" s="3">
        <f>=ROUND((1000/((1000/E573) + (1000/G573))),2)</f>
      </c>
      <c r="J573" s="3">
        <f>=ROUND((1000/((1000/F573) + (1000/G573))),2)</f>
      </c>
    </row>
    <row r="574">
      <c r="A574" s="2" t="str">
        <v>01/05 ВС</v>
      </c>
      <c r="B574" s="2" t="str">
        <v>22:30</v>
      </c>
      <c r="C574" s="2" t="str">
        <v>КАНАДА КАНАДА</v>
      </c>
      <c r="D574" s="2" t="str">
        <v>Валур-Форге</v>
      </c>
      <c r="E574" s="3">
        <f>-</f>
      </c>
      <c r="F574" s="3">
        <f>-</f>
      </c>
      <c r="G574" s="3">
        <f>-</f>
      </c>
      <c r="H574" s="3">
        <f>=ROUND((1000/((1000/E574) + (1000/f574))),2)</f>
      </c>
      <c r="I574" s="3">
        <f>=ROUND((1000/((1000/E574) + (1000/G574))),2)</f>
      </c>
      <c r="J574" s="3">
        <f>=ROUND((1000/((1000/F574) + (1000/G574))),2)</f>
      </c>
    </row>
    <row r="575">
      <c r="A575" s="2" t="str">
        <v>01/05 ВС</v>
      </c>
      <c r="B575" s="2" t="str">
        <v>16:00</v>
      </c>
      <c r="C575" s="2" t="str">
        <v>КЕНИЯ КЕНИЯ</v>
      </c>
      <c r="D575" s="2" t="str">
        <v>Гор Махиа-Кариобанги Шаркс</v>
      </c>
      <c r="E575" s="3">
        <f>-</f>
      </c>
      <c r="F575" s="3">
        <f>-</f>
      </c>
      <c r="G575" s="3">
        <f>-</f>
      </c>
      <c r="H575" s="3">
        <f>=ROUND((1000/((1000/E575) + (1000/f575))),2)</f>
      </c>
      <c r="I575" s="3">
        <f>=ROUND((1000/((1000/E575) + (1000/G575))),2)</f>
      </c>
      <c r="J575" s="3">
        <f>=ROUND((1000/((1000/F575) + (1000/G575))),2)</f>
      </c>
    </row>
    <row r="576">
      <c r="A576" s="2" t="str">
        <v>01/05 ВС</v>
      </c>
      <c r="B576" s="2" t="str">
        <v>16:00</v>
      </c>
      <c r="C576" s="2" t="str">
        <v>КЕНИЯ КЕНИЯ</v>
      </c>
      <c r="D576" s="2" t="str">
        <v>Какамега Хоумбойз-Вазито</v>
      </c>
      <c r="E576" s="3">
        <f>-</f>
      </c>
      <c r="F576" s="3">
        <f>-</f>
      </c>
      <c r="G576" s="3">
        <f>-</f>
      </c>
      <c r="H576" s="3">
        <f>=ROUND((1000/((1000/E576) + (1000/f576))),2)</f>
      </c>
      <c r="I576" s="3">
        <f>=ROUND((1000/((1000/E576) + (1000/G576))),2)</f>
      </c>
      <c r="J576" s="3">
        <f>=ROUND((1000/((1000/F576) + (1000/G576))),2)</f>
      </c>
    </row>
    <row r="577">
      <c r="A577" s="2" t="str">
        <v>01/05 ВС</v>
      </c>
      <c r="B577" s="2" t="str">
        <v>16:00</v>
      </c>
      <c r="C577" s="2" t="str">
        <v>КЕНИЯ КЕНИЯ</v>
      </c>
      <c r="D577" s="2" t="str">
        <v>Леопардс-KCB</v>
      </c>
      <c r="E577" s="3">
        <f>-</f>
      </c>
      <c r="F577" s="3">
        <f>-</f>
      </c>
      <c r="G577" s="3">
        <f>-</f>
      </c>
      <c r="H577" s="3">
        <f>=ROUND((1000/((1000/E577) + (1000/f577))),2)</f>
      </c>
      <c r="I577" s="3">
        <f>=ROUND((1000/((1000/E577) + (1000/G577))),2)</f>
      </c>
      <c r="J577" s="3">
        <f>=ROUND((1000/((1000/F577) + (1000/G577))),2)</f>
      </c>
    </row>
    <row r="578">
      <c r="A578" s="2" t="str">
        <v>01/05 ВС</v>
      </c>
      <c r="B578" s="2" t="str">
        <v>16:00</v>
      </c>
      <c r="C578" s="2" t="str">
        <v>КЕНИЯ КЕНИЯ</v>
      </c>
      <c r="D578" s="2" t="str">
        <v>Найроби Сити Старз-Полис</v>
      </c>
      <c r="E578" s="3">
        <f>-</f>
      </c>
      <c r="F578" s="3">
        <f>-</f>
      </c>
      <c r="G578" s="3">
        <f>-</f>
      </c>
      <c r="H578" s="3">
        <f>=ROUND((1000/((1000/E578) + (1000/f578))),2)</f>
      </c>
      <c r="I578" s="3">
        <f>=ROUND((1000/((1000/E578) + (1000/G578))),2)</f>
      </c>
      <c r="J578" s="3">
        <f>=ROUND((1000/((1000/F578) + (1000/G578))),2)</f>
      </c>
    </row>
    <row r="579">
      <c r="A579" s="2" t="str">
        <v>01/05 ВС</v>
      </c>
      <c r="B579" s="2" t="str">
        <v>16:00</v>
      </c>
      <c r="C579" s="2" t="str">
        <v>КЕНИЯ КЕНИЯ</v>
      </c>
      <c r="D579" s="2" t="str">
        <v>Софапака-Нзоя Шугар</v>
      </c>
      <c r="E579" s="3">
        <f>-</f>
      </c>
      <c r="F579" s="3">
        <f>-</f>
      </c>
      <c r="G579" s="3">
        <f>-</f>
      </c>
      <c r="H579" s="3">
        <f>=ROUND((1000/((1000/E579) + (1000/f579))),2)</f>
      </c>
      <c r="I579" s="3">
        <f>=ROUND((1000/((1000/E579) + (1000/G579))),2)</f>
      </c>
      <c r="J579" s="3">
        <f>=ROUND((1000/((1000/F579) + (1000/G579))),2)</f>
      </c>
    </row>
    <row r="580">
      <c r="A580" s="2" t="str">
        <v>01/05 ВС</v>
      </c>
      <c r="B580" s="2" t="str">
        <v>20:00</v>
      </c>
      <c r="C580" s="2" t="str">
        <v>КИПР КИПР</v>
      </c>
      <c r="D580" s="2" t="str">
        <v>Докса-Омония</v>
      </c>
      <c r="E580" s="3">
        <f>-</f>
      </c>
      <c r="F580" s="3">
        <f>-</f>
      </c>
      <c r="G580" s="3">
        <f>-</f>
      </c>
      <c r="H580" s="3">
        <f>=ROUND((1000/((1000/E580) + (1000/f580))),2)</f>
      </c>
      <c r="I580" s="3">
        <f>=ROUND((1000/((1000/E580) + (1000/G580))),2)</f>
      </c>
      <c r="J580" s="3">
        <f>=ROUND((1000/((1000/F580) + (1000/G580))),2)</f>
      </c>
    </row>
    <row r="581">
      <c r="A581" s="2" t="str">
        <v>01/05 ВС</v>
      </c>
      <c r="B581" s="2" t="str">
        <v>19:00</v>
      </c>
      <c r="C581" s="2" t="str">
        <v>КИПР КИПР</v>
      </c>
      <c r="D581" s="2" t="str">
        <v>АПОЭЛ-АЕК Ларнака</v>
      </c>
      <c r="E581" s="3">
        <f>-</f>
      </c>
      <c r="F581" s="3">
        <f>-</f>
      </c>
      <c r="G581" s="3">
        <f>-</f>
      </c>
      <c r="H581" s="3">
        <f>=ROUND((1000/((1000/E581) + (1000/f581))),2)</f>
      </c>
      <c r="I581" s="3">
        <f>=ROUND((1000/((1000/E581) + (1000/G581))),2)</f>
      </c>
      <c r="J581" s="3">
        <f>=ROUND((1000/((1000/F581) + (1000/G581))),2)</f>
      </c>
    </row>
    <row r="582" xml:space="preserve">
      <c r="A582" s="2" t="str">
        <v>01/05 ВС</v>
      </c>
      <c r="B582" s="2" t="str" xml:space="preserve">
        <v xml:space="preserve">10:15_x000d_
TKP</v>
      </c>
      <c r="C582" s="2" t="str">
        <v>КИТАЙ КИТАЙ</v>
      </c>
      <c r="D582" s="2" t="str">
        <v>Чанчунь (Ж)-Ухань (Ж)</v>
      </c>
      <c r="E582" s="3">
        <f>-</f>
      </c>
      <c r="F582" s="3">
        <f>-</f>
      </c>
      <c r="G582" s="3">
        <f>-</f>
      </c>
      <c r="H582" s="3">
        <f>=ROUND((1000/((1000/E582) + (1000/f582))),2)</f>
      </c>
      <c r="I582" s="3">
        <f>=ROUND((1000/((1000/E582) + (1000/G582))),2)</f>
      </c>
      <c r="J582" s="3">
        <f>=ROUND((1000/((1000/F582) + (1000/G582))),2)</f>
      </c>
    </row>
    <row r="583" xml:space="preserve">
      <c r="A583" s="2" t="str">
        <v>01/05 ВС</v>
      </c>
      <c r="B583" s="2" t="str" xml:space="preserve">
        <v xml:space="preserve">10:15_x000d_
TKP</v>
      </c>
      <c r="C583" s="2" t="str">
        <v>КИТАЙ КИТАЙ</v>
      </c>
      <c r="D583" s="2" t="str">
        <v>Шаньдун СЛ (Ж)-Сычуань (Ж)</v>
      </c>
      <c r="E583" s="3">
        <f>-</f>
      </c>
      <c r="F583" s="3">
        <f>-</f>
      </c>
      <c r="G583" s="3">
        <f>-</f>
      </c>
      <c r="H583" s="3">
        <f>=ROUND((1000/((1000/E583) + (1000/f583))),2)</f>
      </c>
      <c r="I583" s="3">
        <f>=ROUND((1000/((1000/E583) + (1000/G583))),2)</f>
      </c>
      <c r="J583" s="3">
        <f>=ROUND((1000/((1000/F583) + (1000/G583))),2)</f>
      </c>
    </row>
    <row r="584" xml:space="preserve">
      <c r="A584" s="2" t="str">
        <v>01/05 ВС</v>
      </c>
      <c r="B584" s="2" t="str" xml:space="preserve">
        <v xml:space="preserve">12:00_x000d_
TKP</v>
      </c>
      <c r="C584" s="2" t="str">
        <v>КИТАЙ КИТАЙ</v>
      </c>
      <c r="D584" s="2" t="str">
        <v>Хэнань Суншань Лунмэнь (Ж)-Пекин Бейкон (Ж)</v>
      </c>
      <c r="E584" s="3">
        <f>-</f>
      </c>
      <c r="F584" s="3">
        <f>-</f>
      </c>
      <c r="G584" s="3">
        <f>-</f>
      </c>
      <c r="H584" s="3">
        <f>=ROUND((1000/((1000/E584) + (1000/f584))),2)</f>
      </c>
      <c r="I584" s="3">
        <f>=ROUND((1000/((1000/E584) + (1000/G584))),2)</f>
      </c>
      <c r="J584" s="3">
        <f>=ROUND((1000/((1000/F584) + (1000/G584))),2)</f>
      </c>
    </row>
    <row r="585" xml:space="preserve">
      <c r="A585" s="2" t="str">
        <v>01/05 ВС</v>
      </c>
      <c r="B585" s="2" t="str" xml:space="preserve">
        <v xml:space="preserve">12:30_x000d_
TKP</v>
      </c>
      <c r="C585" s="2" t="str">
        <v>КИТАЙ КИТАЙ</v>
      </c>
      <c r="D585" s="2" t="str">
        <v>Гуандун (Ж)-Цзянсу Сайнти (Ж)</v>
      </c>
      <c r="E585" s="3">
        <f>-</f>
      </c>
      <c r="F585" s="3">
        <f>-</f>
      </c>
      <c r="G585" s="3">
        <f>-</f>
      </c>
      <c r="H585" s="3">
        <f>=ROUND((1000/((1000/E585) + (1000/f585))),2)</f>
      </c>
      <c r="I585" s="3">
        <f>=ROUND((1000/((1000/E585) + (1000/G585))),2)</f>
      </c>
      <c r="J585" s="3">
        <f>=ROUND((1000/((1000/F585) + (1000/G585))),2)</f>
      </c>
    </row>
    <row r="586" xml:space="preserve">
      <c r="A586" s="2" t="str">
        <v>01/05 ВС</v>
      </c>
      <c r="B586" s="2" t="str" xml:space="preserve">
        <v xml:space="preserve">12:30_x000d_
TKP</v>
      </c>
      <c r="C586" s="2" t="str">
        <v>КИТАЙ КИТАЙ</v>
      </c>
      <c r="D586" s="2" t="str">
        <v>Шанхай РСБ (Ж)-Шэньси Чанъань (Ж)</v>
      </c>
      <c r="E586" s="3">
        <f>-</f>
      </c>
      <c r="F586" s="3">
        <f>-</f>
      </c>
      <c r="G586" s="3">
        <f>-</f>
      </c>
      <c r="H586" s="3">
        <f>=ROUND((1000/((1000/E586) + (1000/f586))),2)</f>
      </c>
      <c r="I586" s="3">
        <f>=ROUND((1000/((1000/E586) + (1000/G586))),2)</f>
      </c>
      <c r="J586" s="3">
        <f>=ROUND((1000/((1000/F586) + (1000/G586))),2)</f>
      </c>
    </row>
    <row r="587">
      <c r="A587" s="2" t="str">
        <v>01/05 ВС</v>
      </c>
      <c r="B587" s="2" t="str">
        <v>01:05</v>
      </c>
      <c r="C587" s="2" t="str">
        <v>КОЛУМБИЯ КОЛУМБИЯ</v>
      </c>
      <c r="D587" s="2" t="str">
        <v>Медельин-Атлетико Насьональ</v>
      </c>
      <c r="E587" s="3">
        <f>3.50</f>
      </c>
      <c r="F587" s="3">
        <f>3.20</f>
      </c>
      <c r="G587" s="3">
        <f>2.20</f>
      </c>
      <c r="H587" s="3">
        <f>=ROUND((1000/((1000/E587) + (1000/f587))),2)</f>
      </c>
      <c r="I587" s="3">
        <f>=ROUND((1000/((1000/E587) + (1000/G587))),2)</f>
      </c>
      <c r="J587" s="3">
        <f>=ROUND((1000/((1000/F587) + (1000/G587))),2)</f>
      </c>
    </row>
    <row r="588">
      <c r="A588" s="2" t="str">
        <v>01/05 ВС</v>
      </c>
      <c r="B588" s="2" t="str">
        <v>03:10</v>
      </c>
      <c r="C588" s="2" t="str">
        <v>КОЛУМБИЯ КОЛУМБИЯ</v>
      </c>
      <c r="D588" s="2" t="str">
        <v>Санта Фе-Хагуарес Кордоба</v>
      </c>
      <c r="E588" s="3">
        <f>1.57</f>
      </c>
      <c r="F588" s="3">
        <f>4.00</f>
      </c>
      <c r="G588" s="3">
        <f>6.00</f>
      </c>
      <c r="H588" s="3">
        <f>=ROUND((1000/((1000/E588) + (1000/f588))),2)</f>
      </c>
      <c r="I588" s="3">
        <f>=ROUND((1000/((1000/E588) + (1000/G588))),2)</f>
      </c>
      <c r="J588" s="3">
        <f>=ROUND((1000/((1000/F588) + (1000/G588))),2)</f>
      </c>
    </row>
    <row r="589">
      <c r="A589" s="2" t="str">
        <v>01/05 ВС</v>
      </c>
      <c r="B589" s="2" t="str">
        <v>05:15</v>
      </c>
      <c r="C589" s="2" t="str">
        <v>КОЛУМБИЯ КОЛУМБИЯ</v>
      </c>
      <c r="D589" s="2" t="str">
        <v>Толима-Кортулуа</v>
      </c>
      <c r="E589" s="3">
        <f>1.57</f>
      </c>
      <c r="F589" s="3">
        <f>4.00</f>
      </c>
      <c r="G589" s="3">
        <f>6.50</f>
      </c>
      <c r="H589" s="3">
        <f>=ROUND((1000/((1000/E589) + (1000/f589))),2)</f>
      </c>
      <c r="I589" s="3">
        <f>=ROUND((1000/((1000/E589) + (1000/G589))),2)</f>
      </c>
      <c r="J589" s="3">
        <f>=ROUND((1000/((1000/F589) + (1000/G589))),2)</f>
      </c>
    </row>
    <row r="590">
      <c r="A590" s="2" t="str">
        <v>01/05 ВС</v>
      </c>
      <c r="B590" s="2" t="str">
        <v>23:00</v>
      </c>
      <c r="C590" s="2" t="str">
        <v>КОЛУМБИЯ КОЛУМБИЯ</v>
      </c>
      <c r="D590" s="2" t="str">
        <v>Онсе Кальдас-Депортиво Кали</v>
      </c>
      <c r="E590" s="3">
        <f>1.90</f>
      </c>
      <c r="F590" s="3">
        <f>3.10</f>
      </c>
      <c r="G590" s="3">
        <f>4.75</f>
      </c>
      <c r="H590" s="3">
        <f>=ROUND((1000/((1000/E590) + (1000/f590))),2)</f>
      </c>
      <c r="I590" s="3">
        <f>=ROUND((1000/((1000/E590) + (1000/G590))),2)</f>
      </c>
      <c r="J590" s="3">
        <f>=ROUND((1000/((1000/F590) + (1000/G590))),2)</f>
      </c>
    </row>
    <row r="591">
      <c r="A591" s="2" t="str">
        <v>01/05 ВС</v>
      </c>
      <c r="B591" s="2" t="str">
        <v>00:00</v>
      </c>
      <c r="C591" s="2" t="str">
        <v>КОЛУМБИЯ КОЛУМБИЯ</v>
      </c>
      <c r="D591" s="2" t="str">
        <v>Orsomarso (Ж)-Уила (Ж)</v>
      </c>
      <c r="E591" s="3">
        <f>-</f>
      </c>
      <c r="F591" s="3">
        <f>-</f>
      </c>
      <c r="G591" s="3">
        <f>-</f>
      </c>
      <c r="H591" s="3">
        <f>=ROUND((1000/((1000/E591) + (1000/f591))),2)</f>
      </c>
      <c r="I591" s="3">
        <f>=ROUND((1000/((1000/E591) + (1000/G591))),2)</f>
      </c>
      <c r="J591" s="3">
        <f>=ROUND((1000/((1000/F591) + (1000/G591))),2)</f>
      </c>
    </row>
    <row r="592">
      <c r="A592" s="2" t="str">
        <v>01/05 ВС</v>
      </c>
      <c r="B592" s="2" t="str">
        <v>01:00</v>
      </c>
      <c r="C592" s="2" t="str">
        <v>КОЛУМБИЯ КОЛУМБИЯ</v>
      </c>
      <c r="D592" s="2" t="str">
        <v>Хуниор (Ж)-Форталеза (Ж)</v>
      </c>
      <c r="E592" s="3">
        <f>-</f>
      </c>
      <c r="F592" s="3">
        <f>-</f>
      </c>
      <c r="G592" s="3">
        <f>-</f>
      </c>
      <c r="H592" s="3">
        <f>=ROUND((1000/((1000/E592) + (1000/f592))),2)</f>
      </c>
      <c r="I592" s="3">
        <f>=ROUND((1000/((1000/E592) + (1000/G592))),2)</f>
      </c>
      <c r="J592" s="3">
        <f>=ROUND((1000/((1000/F592) + (1000/G592))),2)</f>
      </c>
    </row>
    <row r="593" xml:space="preserve">
      <c r="A593" s="2" t="str">
        <v>01/05 ВС</v>
      </c>
      <c r="B593" s="2" t="str" xml:space="preserve">
        <v xml:space="preserve">17:00_x000d_
TKP</v>
      </c>
      <c r="C593" s="2" t="str">
        <v>КОНГО КОНГО</v>
      </c>
      <c r="D593" s="2" t="str">
        <v>Таланге-Отохо д'Ойо</v>
      </c>
      <c r="E593" s="3">
        <f>-</f>
      </c>
      <c r="F593" s="3">
        <f>-</f>
      </c>
      <c r="G593" s="3">
        <f>-</f>
      </c>
      <c r="H593" s="3">
        <f>=ROUND((1000/((1000/E593) + (1000/f593))),2)</f>
      </c>
      <c r="I593" s="3">
        <f>=ROUND((1000/((1000/E593) + (1000/G593))),2)</f>
      </c>
      <c r="J593" s="3">
        <f>=ROUND((1000/((1000/F593) + (1000/G593))),2)</f>
      </c>
    </row>
    <row r="594">
      <c r="A594" s="2" t="str">
        <v>01/05 ВС</v>
      </c>
      <c r="B594" s="2" t="str">
        <v>17:00</v>
      </c>
      <c r="C594" s="2" t="str">
        <v>КОСОВО КОСОВО</v>
      </c>
      <c r="D594" s="2" t="str">
        <v>Дрита-Дреница</v>
      </c>
      <c r="E594" s="3">
        <f>-</f>
      </c>
      <c r="F594" s="3">
        <f>-</f>
      </c>
      <c r="G594" s="3">
        <f>-</f>
      </c>
      <c r="H594" s="3">
        <f>=ROUND((1000/((1000/E594) + (1000/f594))),2)</f>
      </c>
      <c r="I594" s="3">
        <f>=ROUND((1000/((1000/E594) + (1000/G594))),2)</f>
      </c>
      <c r="J594" s="3">
        <f>=ROUND((1000/((1000/F594) + (1000/G594))),2)</f>
      </c>
    </row>
    <row r="595">
      <c r="A595" s="2" t="str">
        <v>01/05 ВС</v>
      </c>
      <c r="B595" s="2" t="str">
        <v>17:00</v>
      </c>
      <c r="C595" s="2" t="str">
        <v>КОСОВО КОСОВО</v>
      </c>
      <c r="D595" s="2" t="str">
        <v>КФ Лапи-ФК Балканы</v>
      </c>
      <c r="E595" s="3">
        <f>-</f>
      </c>
      <c r="F595" s="3">
        <f>-</f>
      </c>
      <c r="G595" s="3">
        <f>-</f>
      </c>
      <c r="H595" s="3">
        <f>=ROUND((1000/((1000/E595) + (1000/f595))),2)</f>
      </c>
      <c r="I595" s="3">
        <f>=ROUND((1000/((1000/E595) + (1000/G595))),2)</f>
      </c>
      <c r="J595" s="3">
        <f>=ROUND((1000/((1000/F595) + (1000/G595))),2)</f>
      </c>
    </row>
    <row r="596">
      <c r="A596" s="2" t="str">
        <v>01/05 ВС</v>
      </c>
      <c r="B596" s="2" t="str">
        <v>17:00</v>
      </c>
      <c r="C596" s="2" t="str">
        <v>КОСОВО КОСОВО</v>
      </c>
      <c r="D596" s="2" t="str">
        <v>Фероникели-Малишево</v>
      </c>
      <c r="E596" s="3">
        <f>-</f>
      </c>
      <c r="F596" s="3">
        <f>-</f>
      </c>
      <c r="G596" s="3">
        <f>-</f>
      </c>
      <c r="H596" s="3">
        <f>=ROUND((1000/((1000/E596) + (1000/f596))),2)</f>
      </c>
      <c r="I596" s="3">
        <f>=ROUND((1000/((1000/E596) + (1000/G596))),2)</f>
      </c>
      <c r="J596" s="3">
        <f>=ROUND((1000/((1000/F596) + (1000/G596))),2)</f>
      </c>
    </row>
    <row r="597">
      <c r="A597" s="2" t="str">
        <v>01/05 ВС</v>
      </c>
      <c r="B597" s="2" t="str">
        <v>04:00</v>
      </c>
      <c r="C597" s="2" t="str">
        <v>КОСТА-РИКА КОСТА-РИКА</v>
      </c>
      <c r="D597" s="2" t="str">
        <v>Сантос де Гуапилес-Гуадалупе</v>
      </c>
      <c r="E597" s="3">
        <f>1.95</f>
      </c>
      <c r="F597" s="3">
        <f>3.40</f>
      </c>
      <c r="G597" s="3">
        <f>3.40</f>
      </c>
      <c r="H597" s="3">
        <f>=ROUND((1000/((1000/E597) + (1000/f597))),2)</f>
      </c>
      <c r="I597" s="3">
        <f>=ROUND((1000/((1000/E597) + (1000/G597))),2)</f>
      </c>
      <c r="J597" s="3">
        <f>=ROUND((1000/((1000/F597) + (1000/G597))),2)</f>
      </c>
    </row>
    <row r="598">
      <c r="A598" s="2" t="str">
        <v>01/05 ВС</v>
      </c>
      <c r="B598" s="2" t="str">
        <v>06:00</v>
      </c>
      <c r="C598" s="2" t="str">
        <v>КОСТА-РИКА КОСТА-РИКА</v>
      </c>
      <c r="D598" s="2" t="str">
        <v>Эредиано-Картахинес</v>
      </c>
      <c r="E598" s="3">
        <f>1.72</f>
      </c>
      <c r="F598" s="3">
        <f>3.50</f>
      </c>
      <c r="G598" s="3">
        <f>4.20</f>
      </c>
      <c r="H598" s="3">
        <f>=ROUND((1000/((1000/E598) + (1000/f598))),2)</f>
      </c>
      <c r="I598" s="3">
        <f>=ROUND((1000/((1000/E598) + (1000/G598))),2)</f>
      </c>
      <c r="J598" s="3">
        <f>=ROUND((1000/((1000/F598) + (1000/G598))),2)</f>
      </c>
    </row>
    <row r="599">
      <c r="A599" s="2" t="str">
        <v>01/05 ВС</v>
      </c>
      <c r="B599" s="2" t="str">
        <v>06:10</v>
      </c>
      <c r="C599" s="2" t="str">
        <v>КОСТА-РИКА КОСТА-РИКА</v>
      </c>
      <c r="D599" s="2" t="str">
        <v>Сан-Карлос-Греция</v>
      </c>
      <c r="E599" s="3">
        <f>2.10</f>
      </c>
      <c r="F599" s="3">
        <f>3.20</f>
      </c>
      <c r="G599" s="3">
        <f>3.25</f>
      </c>
      <c r="H599" s="3">
        <f>=ROUND((1000/((1000/E599) + (1000/f599))),2)</f>
      </c>
      <c r="I599" s="3">
        <f>=ROUND((1000/((1000/E599) + (1000/G599))),2)</f>
      </c>
      <c r="J599" s="3">
        <f>=ROUND((1000/((1000/F599) + (1000/G599))),2)</f>
      </c>
    </row>
    <row r="600">
      <c r="A600" s="2" t="str">
        <v>01/05 ВС</v>
      </c>
      <c r="B600" s="2" t="str">
        <v>21:00</v>
      </c>
      <c r="C600" s="2" t="str">
        <v>КОСТА-РИКА КОСТА-РИКА</v>
      </c>
      <c r="D600" s="2" t="str">
        <v>Алахуэленсе-АДР Джикарал</v>
      </c>
      <c r="E600" s="3">
        <f>1.36</f>
      </c>
      <c r="F600" s="3">
        <f>4.20</f>
      </c>
      <c r="G600" s="3">
        <f>7.50</f>
      </c>
      <c r="H600" s="3">
        <f>=ROUND((1000/((1000/E600) + (1000/f600))),2)</f>
      </c>
      <c r="I600" s="3">
        <f>=ROUND((1000/((1000/E600) + (1000/G600))),2)</f>
      </c>
      <c r="J600" s="3">
        <f>=ROUND((1000/((1000/F600) + (1000/G600))),2)</f>
      </c>
    </row>
    <row r="601">
      <c r="A601" s="2" t="str">
        <v>01/05 ВС</v>
      </c>
      <c r="B601" s="2" t="str">
        <v>05:00</v>
      </c>
      <c r="C601" s="2" t="str">
        <v>КОСТА-РИКА КОСТА-РИКА</v>
      </c>
      <c r="D601" s="2" t="str">
        <v>Пунтаренас-Санта-Ана</v>
      </c>
      <c r="E601" s="3">
        <f>-</f>
      </c>
      <c r="F601" s="3">
        <f>-</f>
      </c>
      <c r="G601" s="3">
        <f>-</f>
      </c>
      <c r="H601" s="3">
        <f>=ROUND((1000/((1000/E601) + (1000/f601))),2)</f>
      </c>
      <c r="I601" s="3">
        <f>=ROUND((1000/((1000/E601) + (1000/G601))),2)</f>
      </c>
      <c r="J601" s="3">
        <f>=ROUND((1000/((1000/F601) + (1000/G601))),2)</f>
      </c>
    </row>
    <row r="602">
      <c r="A602" s="2" t="str">
        <v>01/05 ВС</v>
      </c>
      <c r="B602" s="2" t="str">
        <v>19:30</v>
      </c>
      <c r="C602" s="2" t="str">
        <v>КОТ-Д'ИВУАР КОТ-Д'ИВУАР</v>
      </c>
      <c r="D602" s="2" t="str">
        <v>Бассам-Бафинг</v>
      </c>
      <c r="E602" s="3">
        <f>-</f>
      </c>
      <c r="F602" s="3">
        <f>-</f>
      </c>
      <c r="G602" s="3">
        <f>-</f>
      </c>
      <c r="H602" s="3">
        <f>=ROUND((1000/((1000/E602) + (1000/f602))),2)</f>
      </c>
      <c r="I602" s="3">
        <f>=ROUND((1000/((1000/E602) + (1000/G602))),2)</f>
      </c>
      <c r="J602" s="3">
        <f>=ROUND((1000/((1000/F602) + (1000/G602))),2)</f>
      </c>
    </row>
    <row r="603">
      <c r="A603" s="2" t="str">
        <v>01/05 ВС</v>
      </c>
      <c r="B603" s="2" t="str">
        <v>19:30</v>
      </c>
      <c r="C603" s="2" t="str">
        <v>КОТ-Д'ИВУАР КОТ-Д'ИВУАР</v>
      </c>
      <c r="D603" s="2" t="str">
        <v>Спортинг Ганьоа-Буяке</v>
      </c>
      <c r="E603" s="3">
        <f>-</f>
      </c>
      <c r="F603" s="3">
        <f>-</f>
      </c>
      <c r="G603" s="3">
        <f>-</f>
      </c>
      <c r="H603" s="3">
        <f>=ROUND((1000/((1000/E603) + (1000/f603))),2)</f>
      </c>
      <c r="I603" s="3">
        <f>=ROUND((1000/((1000/E603) + (1000/G603))),2)</f>
      </c>
      <c r="J603" s="3">
        <f>=ROUND((1000/((1000/F603) + (1000/G603))),2)</f>
      </c>
    </row>
    <row r="604">
      <c r="A604" s="2" t="str">
        <v>01/05 ВС</v>
      </c>
      <c r="B604" s="2" t="str">
        <v>22:00</v>
      </c>
      <c r="C604" s="2" t="str">
        <v>КОТ-Д'ИВУАР КОТ-Д'ИВУАР</v>
      </c>
      <c r="D604" s="2" t="str">
        <v>АСЕК Мимосас-Лис Сасандра</v>
      </c>
      <c r="E604" s="3">
        <f>-</f>
      </c>
      <c r="F604" s="3">
        <f>-</f>
      </c>
      <c r="G604" s="3">
        <f>-</f>
      </c>
      <c r="H604" s="3">
        <f>=ROUND((1000/((1000/E604) + (1000/f604))),2)</f>
      </c>
      <c r="I604" s="3">
        <f>=ROUND((1000/((1000/E604) + (1000/G604))),2)</f>
      </c>
      <c r="J604" s="3">
        <f>=ROUND((1000/((1000/F604) + (1000/G604))),2)</f>
      </c>
    </row>
    <row r="605" xml:space="preserve">
      <c r="A605" s="2" t="str">
        <v>01/05 ВС</v>
      </c>
      <c r="B605" s="2" t="str" xml:space="preserve">
        <v xml:space="preserve">00:00_x000d_
TKP</v>
      </c>
      <c r="C605" s="2" t="str">
        <v>КУБА КУБА</v>
      </c>
      <c r="D605" s="2" t="str">
        <v>Артемиза-FC La Habana</v>
      </c>
      <c r="E605" s="3">
        <f>-</f>
      </c>
      <c r="F605" s="3">
        <f>-</f>
      </c>
      <c r="G605" s="3">
        <f>-</f>
      </c>
      <c r="H605" s="3">
        <f>=ROUND((1000/((1000/E605) + (1000/f605))),2)</f>
      </c>
      <c r="I605" s="3">
        <f>=ROUND((1000/((1000/E605) + (1000/G605))),2)</f>
      </c>
      <c r="J605" s="3">
        <f>=ROUND((1000/((1000/F605) + (1000/G605))),2)</f>
      </c>
    </row>
    <row r="606" xml:space="preserve">
      <c r="A606" s="2" t="str">
        <v>01/05 ВС</v>
      </c>
      <c r="B606" s="2" t="str" xml:space="preserve">
        <v xml:space="preserve">00:00_x000d_
TKP</v>
      </c>
      <c r="C606" s="2" t="str">
        <v>КУБА КУБА</v>
      </c>
      <c r="D606" s="2" t="str">
        <v>Гранма-Las Tunas</v>
      </c>
      <c r="E606" s="3">
        <f>-</f>
      </c>
      <c r="F606" s="3">
        <f>-</f>
      </c>
      <c r="G606" s="3">
        <f>-</f>
      </c>
      <c r="H606" s="3">
        <f>=ROUND((1000/((1000/E606) + (1000/f606))),2)</f>
      </c>
      <c r="I606" s="3">
        <f>=ROUND((1000/((1000/E606) + (1000/G606))),2)</f>
      </c>
      <c r="J606" s="3">
        <f>=ROUND((1000/((1000/F606) + (1000/G606))),2)</f>
      </c>
    </row>
    <row r="607" xml:space="preserve">
      <c r="A607" s="2" t="str">
        <v>01/05 ВС</v>
      </c>
      <c r="B607" s="2" t="str" xml:space="preserve">
        <v xml:space="preserve">00:00_x000d_
TKP</v>
      </c>
      <c r="C607" s="2" t="str">
        <v>КУБА КУБА</v>
      </c>
      <c r="D607" s="2" t="str">
        <v>Гуантанамо-Камагуэй</v>
      </c>
      <c r="E607" s="3">
        <f>-</f>
      </c>
      <c r="F607" s="3">
        <f>-</f>
      </c>
      <c r="G607" s="3">
        <f>-</f>
      </c>
      <c r="H607" s="3">
        <f>=ROUND((1000/((1000/E607) + (1000/f607))),2)</f>
      </c>
      <c r="I607" s="3">
        <f>=ROUND((1000/((1000/E607) + (1000/G607))),2)</f>
      </c>
      <c r="J607" s="3">
        <f>=ROUND((1000/((1000/F607) + (1000/G607))),2)</f>
      </c>
    </row>
    <row r="608" xml:space="preserve">
      <c r="A608" s="2" t="str">
        <v>01/05 ВС</v>
      </c>
      <c r="B608" s="2" t="str" xml:space="preserve">
        <v xml:space="preserve">00:00_x000d_
TKP</v>
      </c>
      <c r="C608" s="2" t="str">
        <v>КУБА КУБА</v>
      </c>
      <c r="D608" s="2" t="str">
        <v>Санкти Спиритус-Holguin</v>
      </c>
      <c r="E608" s="3">
        <f>-</f>
      </c>
      <c r="F608" s="3">
        <f>-</f>
      </c>
      <c r="G608" s="3">
        <f>-</f>
      </c>
      <c r="H608" s="3">
        <f>=ROUND((1000/((1000/E608) + (1000/f608))),2)</f>
      </c>
      <c r="I608" s="3">
        <f>=ROUND((1000/((1000/E608) + (1000/G608))),2)</f>
      </c>
      <c r="J608" s="3">
        <f>=ROUND((1000/((1000/F608) + (1000/G608))),2)</f>
      </c>
    </row>
    <row r="609" xml:space="preserve">
      <c r="A609" s="2" t="str">
        <v>01/05 ВС</v>
      </c>
      <c r="B609" s="2" t="str" xml:space="preserve">
        <v xml:space="preserve">00:00_x000d_
TKP</v>
      </c>
      <c r="C609" s="2" t="str">
        <v>КУБА КУБА</v>
      </c>
      <c r="D609" s="2" t="str">
        <v>Сантьяго Куба-FC Ciego de Avila</v>
      </c>
      <c r="E609" s="3">
        <f>-</f>
      </c>
      <c r="F609" s="3">
        <f>-</f>
      </c>
      <c r="G609" s="3">
        <f>-</f>
      </c>
      <c r="H609" s="3">
        <f>=ROUND((1000/((1000/E609) + (1000/f609))),2)</f>
      </c>
      <c r="I609" s="3">
        <f>=ROUND((1000/((1000/E609) + (1000/G609))),2)</f>
      </c>
      <c r="J609" s="3">
        <f>=ROUND((1000/((1000/F609) + (1000/G609))),2)</f>
      </c>
    </row>
    <row r="610" xml:space="preserve">
      <c r="A610" s="2" t="str">
        <v>01/05 ВС</v>
      </c>
      <c r="B610" s="2" t="str" xml:space="preserve">
        <v xml:space="preserve">00:00_x000d_
TKP</v>
      </c>
      <c r="C610" s="2" t="str">
        <v>КУБА КУБА</v>
      </c>
      <c r="D610" s="2" t="str">
        <v>Хувентуд-Mayabeque Guines</v>
      </c>
      <c r="E610" s="3">
        <f>-</f>
      </c>
      <c r="F610" s="3">
        <f>-</f>
      </c>
      <c r="G610" s="3">
        <f>-</f>
      </c>
      <c r="H610" s="3">
        <f>=ROUND((1000/((1000/E610) + (1000/f610))),2)</f>
      </c>
      <c r="I610" s="3">
        <f>=ROUND((1000/((1000/E610) + (1000/G610))),2)</f>
      </c>
      <c r="J610" s="3">
        <f>=ROUND((1000/((1000/F610) + (1000/G610))),2)</f>
      </c>
    </row>
    <row r="611" xml:space="preserve">
      <c r="A611" s="2" t="str">
        <v>01/05 ВС</v>
      </c>
      <c r="B611" s="2" t="str" xml:space="preserve">
        <v xml:space="preserve">00:00_x000d_
TKP</v>
      </c>
      <c r="C611" s="2" t="str">
        <v>КУБА КУБА</v>
      </c>
      <c r="D611" s="2" t="str">
        <v>FC Cienfuegos-Pinar del Rio</v>
      </c>
      <c r="E611" s="3">
        <f>-</f>
      </c>
      <c r="F611" s="3">
        <f>-</f>
      </c>
      <c r="G611" s="3">
        <f>-</f>
      </c>
      <c r="H611" s="3">
        <f>=ROUND((1000/((1000/E611) + (1000/f611))),2)</f>
      </c>
      <c r="I611" s="3">
        <f>=ROUND((1000/((1000/E611) + (1000/G611))),2)</f>
      </c>
      <c r="J611" s="3">
        <f>=ROUND((1000/((1000/F611) + (1000/G611))),2)</f>
      </c>
    </row>
    <row r="612" xml:space="preserve">
      <c r="A612" s="2" t="str">
        <v>01/05 ВС</v>
      </c>
      <c r="B612" s="2" t="str" xml:space="preserve">
        <v xml:space="preserve">00:00_x000d_
TKP</v>
      </c>
      <c r="C612" s="2" t="str">
        <v>КУБА КУБА</v>
      </c>
      <c r="D612" s="2" t="str">
        <v>Matanzas-FC Villa Clara</v>
      </c>
      <c r="E612" s="3">
        <f>-</f>
      </c>
      <c r="F612" s="3">
        <f>-</f>
      </c>
      <c r="G612" s="3">
        <f>-</f>
      </c>
      <c r="H612" s="3">
        <f>=ROUND((1000/((1000/E612) + (1000/f612))),2)</f>
      </c>
      <c r="I612" s="3">
        <f>=ROUND((1000/((1000/E612) + (1000/G612))),2)</f>
      </c>
      <c r="J612" s="3">
        <f>=ROUND((1000/((1000/F612) + (1000/G612))),2)</f>
      </c>
    </row>
    <row r="613" xml:space="preserve">
      <c r="A613" s="2" t="str">
        <v>01/05 ВС</v>
      </c>
      <c r="B613" s="2" t="str" xml:space="preserve">
        <v xml:space="preserve">03:00_x000d_
TKP</v>
      </c>
      <c r="C613" s="2" t="str">
        <v>КЮРАСАО КЮРАСАО</v>
      </c>
      <c r="D613" s="2" t="str">
        <v>СУБТ-Виллемстад</v>
      </c>
      <c r="E613" s="3">
        <f>-</f>
      </c>
      <c r="F613" s="3">
        <f>-</f>
      </c>
      <c r="G613" s="3">
        <f>-</f>
      </c>
      <c r="H613" s="3">
        <f>=ROUND((1000/((1000/E613) + (1000/f613))),2)</f>
      </c>
      <c r="I613" s="3">
        <f>=ROUND((1000/((1000/E613) + (1000/G613))),2)</f>
      </c>
      <c r="J613" s="3">
        <f>=ROUND((1000/((1000/F613) + (1000/G613))),2)</f>
      </c>
    </row>
    <row r="614" xml:space="preserve">
      <c r="A614" s="2" t="str">
        <v>01/05 ВС</v>
      </c>
      <c r="B614" s="2" t="str" xml:space="preserve">
        <v xml:space="preserve">04:00_x000d_
TKP</v>
      </c>
      <c r="C614" s="2" t="str">
        <v>КЮРАСАО КЮРАСАО</v>
      </c>
      <c r="D614" s="2" t="str">
        <v>Виктори Бойз-Йонг Холланд</v>
      </c>
      <c r="E614" s="3">
        <f>-</f>
      </c>
      <c r="F614" s="3">
        <f>-</f>
      </c>
      <c r="G614" s="3">
        <f>-</f>
      </c>
      <c r="H614" s="3">
        <f>=ROUND((1000/((1000/E614) + (1000/f614))),2)</f>
      </c>
      <c r="I614" s="3">
        <f>=ROUND((1000/((1000/E614) + (1000/G614))),2)</f>
      </c>
      <c r="J614" s="3">
        <f>=ROUND((1000/((1000/F614) + (1000/G614))),2)</f>
      </c>
    </row>
    <row r="615" xml:space="preserve">
      <c r="A615" s="2" t="str">
        <v>01/05 ВС</v>
      </c>
      <c r="B615" s="2" t="str" xml:space="preserve">
        <v xml:space="preserve">05:15_x000d_
TKP</v>
      </c>
      <c r="C615" s="2" t="str">
        <v>КЮРАСАО КЮРАСАО</v>
      </c>
      <c r="D615" s="2" t="str">
        <v>Центро Домингито-Барбер</v>
      </c>
      <c r="E615" s="3">
        <f>-</f>
      </c>
      <c r="F615" s="3">
        <f>-</f>
      </c>
      <c r="G615" s="3">
        <f>-</f>
      </c>
      <c r="H615" s="3">
        <f>=ROUND((1000/((1000/E615) + (1000/f615))),2)</f>
      </c>
      <c r="I615" s="3">
        <f>=ROUND((1000/((1000/E615) + (1000/G615))),2)</f>
      </c>
      <c r="J615" s="3">
        <f>=ROUND((1000/((1000/F615) + (1000/G615))),2)</f>
      </c>
    </row>
    <row r="616">
      <c r="A616" s="2" t="str">
        <v>01/05 ВС</v>
      </c>
      <c r="B616" s="2" t="str">
        <v>15:00</v>
      </c>
      <c r="C616" s="2" t="str">
        <v>ЛАТВИЯ ЛАТВИЯ</v>
      </c>
      <c r="D616" s="2" t="str">
        <v>Валмиера-ФК Рига</v>
      </c>
      <c r="E616" s="3">
        <f>-</f>
      </c>
      <c r="F616" s="3">
        <f>-</f>
      </c>
      <c r="G616" s="3">
        <f>-</f>
      </c>
      <c r="H616" s="3">
        <f>=ROUND((1000/((1000/E616) + (1000/f616))),2)</f>
      </c>
      <c r="I616" s="3">
        <f>=ROUND((1000/((1000/E616) + (1000/G616))),2)</f>
      </c>
      <c r="J616" s="3">
        <f>=ROUND((1000/((1000/F616) + (1000/G616))),2)</f>
      </c>
    </row>
    <row r="617">
      <c r="A617" s="2" t="str">
        <v>01/05 ВС</v>
      </c>
      <c r="B617" s="2" t="str">
        <v>17:00</v>
      </c>
      <c r="C617" s="2" t="str">
        <v>ЛАТВИЯ ЛАТВИЯ</v>
      </c>
      <c r="D617" s="2" t="str">
        <v>РФШ-Спартакс</v>
      </c>
      <c r="E617" s="3">
        <f>-</f>
      </c>
      <c r="F617" s="3">
        <f>-</f>
      </c>
      <c r="G617" s="3">
        <f>-</f>
      </c>
      <c r="H617" s="3">
        <f>=ROUND((1000/((1000/E617) + (1000/f617))),2)</f>
      </c>
      <c r="I617" s="3">
        <f>=ROUND((1000/((1000/E617) + (1000/G617))),2)</f>
      </c>
      <c r="J617" s="3">
        <f>=ROUND((1000/((1000/F617) + (1000/G617))),2)</f>
      </c>
    </row>
    <row r="618">
      <c r="A618" s="2" t="str">
        <v>01/05 ВС</v>
      </c>
      <c r="B618" s="2" t="str">
        <v>14:00</v>
      </c>
      <c r="C618" s="2" t="str">
        <v>ЛАТВИЯ ЛАТВИЯ</v>
      </c>
      <c r="D618" s="2" t="str">
        <v>Тукумс 2000 2-АФА Олайне</v>
      </c>
      <c r="E618" s="3">
        <f>-</f>
      </c>
      <c r="F618" s="3">
        <f>-</f>
      </c>
      <c r="G618" s="3">
        <f>-</f>
      </c>
      <c r="H618" s="3">
        <f>=ROUND((1000/((1000/E618) + (1000/f618))),2)</f>
      </c>
      <c r="I618" s="3">
        <f>=ROUND((1000/((1000/E618) + (1000/G618))),2)</f>
      </c>
      <c r="J618" s="3">
        <f>=ROUND((1000/((1000/F618) + (1000/G618))),2)</f>
      </c>
    </row>
    <row r="619">
      <c r="A619" s="2" t="str">
        <v>01/05 ВС</v>
      </c>
      <c r="B619" s="2" t="str">
        <v>16:00</v>
      </c>
      <c r="C619" s="2" t="str">
        <v>ЛАТВИЯ ЛАТВИЯ</v>
      </c>
      <c r="D619" s="2" t="str">
        <v>Елгава-Гробина</v>
      </c>
      <c r="E619" s="3">
        <f>-</f>
      </c>
      <c r="F619" s="3">
        <f>-</f>
      </c>
      <c r="G619" s="3">
        <f>-</f>
      </c>
      <c r="H619" s="3">
        <f>=ROUND((1000/((1000/E619) + (1000/f619))),2)</f>
      </c>
      <c r="I619" s="3">
        <f>=ROUND((1000/((1000/E619) + (1000/G619))),2)</f>
      </c>
      <c r="J619" s="3">
        <f>=ROUND((1000/((1000/F619) + (1000/G619))),2)</f>
      </c>
    </row>
    <row r="620" xml:space="preserve">
      <c r="A620" s="2" t="str">
        <v>01/05 ВС</v>
      </c>
      <c r="B620" s="2" t="str" xml:space="preserve">
        <v xml:space="preserve">17:00_x000d_
TKP</v>
      </c>
      <c r="C620" s="2" t="str">
        <v>ЛЕСОТО ЛЕСОТО</v>
      </c>
      <c r="D620" s="2" t="str">
        <v>CCX-Маноняне</v>
      </c>
      <c r="E620" s="3">
        <f>-</f>
      </c>
      <c r="F620" s="3">
        <f>-</f>
      </c>
      <c r="G620" s="3">
        <f>-</f>
      </c>
      <c r="H620" s="3">
        <f>=ROUND((1000/((1000/E620) + (1000/f620))),2)</f>
      </c>
      <c r="I620" s="3">
        <f>=ROUND((1000/((1000/E620) + (1000/G620))),2)</f>
      </c>
      <c r="J620" s="3">
        <f>=ROUND((1000/((1000/F620) + (1000/G620))),2)</f>
      </c>
    </row>
    <row r="621" xml:space="preserve">
      <c r="A621" s="2" t="str">
        <v>01/05 ВС</v>
      </c>
      <c r="B621" s="2" t="str" xml:space="preserve">
        <v xml:space="preserve">17:00_x000d_
TKP</v>
      </c>
      <c r="C621" s="2" t="str">
        <v>ЛЕСОТО ЛЕСОТО</v>
      </c>
      <c r="D621" s="2" t="str">
        <v>Лайоли-Банту</v>
      </c>
      <c r="E621" s="3">
        <f>-</f>
      </c>
      <c r="F621" s="3">
        <f>-</f>
      </c>
      <c r="G621" s="3">
        <f>-</f>
      </c>
      <c r="H621" s="3">
        <f>=ROUND((1000/((1000/E621) + (1000/f621))),2)</f>
      </c>
      <c r="I621" s="3">
        <f>=ROUND((1000/((1000/E621) + (1000/G621))),2)</f>
      </c>
      <c r="J621" s="3">
        <f>=ROUND((1000/((1000/F621) + (1000/G621))),2)</f>
      </c>
    </row>
    <row r="622" xml:space="preserve">
      <c r="A622" s="2" t="str">
        <v>01/05 ВС</v>
      </c>
      <c r="B622" s="2" t="str" xml:space="preserve">
        <v xml:space="preserve">17:00_x000d_
TKP</v>
      </c>
      <c r="C622" s="2" t="str">
        <v>ЛЕСОТО ЛЕСОТО</v>
      </c>
      <c r="D622" s="2" t="str">
        <v>Линаре-Матлама</v>
      </c>
      <c r="E622" s="3">
        <f>-</f>
      </c>
      <c r="F622" s="3">
        <f>-</f>
      </c>
      <c r="G622" s="3">
        <f>-</f>
      </c>
      <c r="H622" s="3">
        <f>=ROUND((1000/((1000/E622) + (1000/f622))),2)</f>
      </c>
      <c r="I622" s="3">
        <f>=ROUND((1000/((1000/E622) + (1000/G622))),2)</f>
      </c>
      <c r="J622" s="3">
        <f>=ROUND((1000/((1000/F622) + (1000/G622))),2)</f>
      </c>
    </row>
    <row r="623" xml:space="preserve">
      <c r="A623" s="2" t="str">
        <v>01/05 ВС</v>
      </c>
      <c r="B623" s="2" t="str" xml:space="preserve">
        <v xml:space="preserve">17:00_x000d_
TKP</v>
      </c>
      <c r="C623" s="2" t="str">
        <v>ЛЕСОТО ЛЕСОТО</v>
      </c>
      <c r="D623" s="2" t="str">
        <v>ЛМПС-ЛСС</v>
      </c>
      <c r="E623" s="3">
        <f>-</f>
      </c>
      <c r="F623" s="3">
        <f>-</f>
      </c>
      <c r="G623" s="3">
        <f>-</f>
      </c>
      <c r="H623" s="3">
        <f>=ROUND((1000/((1000/E623) + (1000/f623))),2)</f>
      </c>
      <c r="I623" s="3">
        <f>=ROUND((1000/((1000/E623) + (1000/G623))),2)</f>
      </c>
      <c r="J623" s="3">
        <f>=ROUND((1000/((1000/F623) + (1000/G623))),2)</f>
      </c>
    </row>
    <row r="624" xml:space="preserve">
      <c r="A624" s="2" t="str">
        <v>01/05 ВС</v>
      </c>
      <c r="B624" s="2" t="str" xml:space="preserve">
        <v xml:space="preserve">20:00_x000d_
TKP</v>
      </c>
      <c r="C624" s="2" t="str">
        <v>ЛИБЕРИЯ ЛИБЕРИЯ</v>
      </c>
      <c r="D624" s="2" t="str">
        <v>Инвинсибл Элевен-МК Брюуэрис</v>
      </c>
      <c r="E624" s="3">
        <f>-</f>
      </c>
      <c r="F624" s="3">
        <f>-</f>
      </c>
      <c r="G624" s="3">
        <f>-</f>
      </c>
      <c r="H624" s="3">
        <f>=ROUND((1000/((1000/E624) + (1000/f624))),2)</f>
      </c>
      <c r="I624" s="3">
        <f>=ROUND((1000/((1000/E624) + (1000/G624))),2)</f>
      </c>
      <c r="J624" s="3">
        <f>=ROUND((1000/((1000/F624) + (1000/G624))),2)</f>
      </c>
    </row>
    <row r="625">
      <c r="A625" s="2" t="str">
        <v>01/05 ВС</v>
      </c>
      <c r="B625" s="2" t="str">
        <v>16:00</v>
      </c>
      <c r="C625" s="2" t="str">
        <v>ЛИТВА ЛИТВА</v>
      </c>
      <c r="D625" s="2" t="str">
        <v>Банга-Судува</v>
      </c>
      <c r="E625" s="3">
        <f>-</f>
      </c>
      <c r="F625" s="3">
        <f>-</f>
      </c>
      <c r="G625" s="3">
        <f>-</f>
      </c>
      <c r="H625" s="3">
        <f>=ROUND((1000/((1000/E625) + (1000/f625))),2)</f>
      </c>
      <c r="I625" s="3">
        <f>=ROUND((1000/((1000/E625) + (1000/G625))),2)</f>
      </c>
      <c r="J625" s="3">
        <f>=ROUND((1000/((1000/F625) + (1000/G625))),2)</f>
      </c>
    </row>
    <row r="626">
      <c r="A626" s="2" t="str">
        <v>01/05 ВС</v>
      </c>
      <c r="B626" s="2" t="str">
        <v>18:30</v>
      </c>
      <c r="C626" s="2" t="str">
        <v>ЛИТВА ЛИТВА</v>
      </c>
      <c r="D626" s="2" t="str">
        <v>Ритеряй-Джюгас Тельшяй</v>
      </c>
      <c r="E626" s="3">
        <f>-</f>
      </c>
      <c r="F626" s="3">
        <f>-</f>
      </c>
      <c r="G626" s="3">
        <f>-</f>
      </c>
      <c r="H626" s="3">
        <f>=ROUND((1000/((1000/E626) + (1000/f626))),2)</f>
      </c>
      <c r="I626" s="3">
        <f>=ROUND((1000/((1000/E626) + (1000/G626))),2)</f>
      </c>
      <c r="J626" s="3">
        <f>=ROUND((1000/((1000/F626) + (1000/G626))),2)</f>
      </c>
    </row>
    <row r="627">
      <c r="A627" s="2" t="str">
        <v>01/05 ВС</v>
      </c>
      <c r="B627" s="2" t="str">
        <v>13:00</v>
      </c>
      <c r="C627" s="2" t="str">
        <v>ЛИТВА ЛИТВА</v>
      </c>
      <c r="D627" s="2" t="str">
        <v>BE1 NFA-БФА Вильнюс</v>
      </c>
      <c r="E627" s="3">
        <f>-</f>
      </c>
      <c r="F627" s="3">
        <f>-</f>
      </c>
      <c r="G627" s="3">
        <f>-</f>
      </c>
      <c r="H627" s="3">
        <f>=ROUND((1000/((1000/E627) + (1000/f627))),2)</f>
      </c>
      <c r="I627" s="3">
        <f>=ROUND((1000/((1000/E627) + (1000/G627))),2)</f>
      </c>
      <c r="J627" s="3">
        <f>=ROUND((1000/((1000/F627) + (1000/G627))),2)</f>
      </c>
    </row>
    <row r="628">
      <c r="A628" s="2" t="str">
        <v>01/05 ВС</v>
      </c>
      <c r="B628" s="2" t="str">
        <v>16:00</v>
      </c>
      <c r="C628" s="2" t="str">
        <v>ЛИТВА ЛИТВА</v>
      </c>
      <c r="D628" s="2" t="str">
        <v>Паневежис 2-Атмосфера</v>
      </c>
      <c r="E628" s="3">
        <f>-</f>
      </c>
      <c r="F628" s="3">
        <f>-</f>
      </c>
      <c r="G628" s="3">
        <f>-</f>
      </c>
      <c r="H628" s="3">
        <f>=ROUND((1000/((1000/E628) + (1000/f628))),2)</f>
      </c>
      <c r="I628" s="3">
        <f>=ROUND((1000/((1000/E628) + (1000/G628))),2)</f>
      </c>
      <c r="J628" s="3">
        <f>=ROUND((1000/((1000/F628) + (1000/G628))),2)</f>
      </c>
    </row>
    <row r="629">
      <c r="A629" s="2" t="str">
        <v>01/05 ВС</v>
      </c>
      <c r="B629" s="2" t="str">
        <v>16:00</v>
      </c>
      <c r="C629" s="2" t="str">
        <v>ЛИТВА ЛИТВА</v>
      </c>
      <c r="D629" s="2" t="str">
        <v>Шауляй 2-Экранас</v>
      </c>
      <c r="E629" s="3">
        <f>-</f>
      </c>
      <c r="F629" s="3">
        <f>-</f>
      </c>
      <c r="G629" s="3">
        <f>-</f>
      </c>
      <c r="H629" s="3">
        <f>=ROUND((1000/((1000/E629) + (1000/f629))),2)</f>
      </c>
      <c r="I629" s="3">
        <f>=ROUND((1000/((1000/E629) + (1000/G629))),2)</f>
      </c>
      <c r="J629" s="3">
        <f>=ROUND((1000/((1000/F629) + (1000/G629))),2)</f>
      </c>
    </row>
    <row r="630">
      <c r="A630" s="2" t="str">
        <v>01/05 ВС</v>
      </c>
      <c r="B630" s="2" t="str">
        <v>18:00</v>
      </c>
      <c r="C630" s="2" t="str">
        <v>ЛЮКСЕМБУРГ ЛЮКСЕМБУРГ</v>
      </c>
      <c r="D630" s="2" t="str">
        <v>Вильц-Роданж</v>
      </c>
      <c r="E630" s="3">
        <f>-</f>
      </c>
      <c r="F630" s="3">
        <f>-</f>
      </c>
      <c r="G630" s="3">
        <f>-</f>
      </c>
      <c r="H630" s="3">
        <f>=ROUND((1000/((1000/E630) + (1000/f630))),2)</f>
      </c>
      <c r="I630" s="3">
        <f>=ROUND((1000/((1000/E630) + (1000/G630))),2)</f>
      </c>
      <c r="J630" s="3">
        <f>=ROUND((1000/((1000/F630) + (1000/G630))),2)</f>
      </c>
    </row>
    <row r="631">
      <c r="A631" s="2" t="str">
        <v>01/05 ВС</v>
      </c>
      <c r="B631" s="2" t="str">
        <v>18:00</v>
      </c>
      <c r="C631" s="2" t="str">
        <v>ЛЮКСЕМБУРГ ЛЮКСЕМБУРГ</v>
      </c>
      <c r="D631" s="2" t="str">
        <v>Дюделанж-Эсперанж</v>
      </c>
      <c r="E631" s="3">
        <f>-</f>
      </c>
      <c r="F631" s="3">
        <f>-</f>
      </c>
      <c r="G631" s="3">
        <f>-</f>
      </c>
      <c r="H631" s="3">
        <f>=ROUND((1000/((1000/E631) + (1000/f631))),2)</f>
      </c>
      <c r="I631" s="3">
        <f>=ROUND((1000/((1000/E631) + (1000/G631))),2)</f>
      </c>
      <c r="J631" s="3">
        <f>=ROUND((1000/((1000/F631) + (1000/G631))),2)</f>
      </c>
    </row>
    <row r="632">
      <c r="A632" s="2" t="str">
        <v>01/05 ВС</v>
      </c>
      <c r="B632" s="2" t="str">
        <v>18:00</v>
      </c>
      <c r="C632" s="2" t="str">
        <v>ЛЮКСЕМБУРГ ЛЮКСЕМБУРГ</v>
      </c>
      <c r="D632" s="2" t="str">
        <v>Женесс-УНА Штрассен</v>
      </c>
      <c r="E632" s="3">
        <f>-</f>
      </c>
      <c r="F632" s="3">
        <f>-</f>
      </c>
      <c r="G632" s="3">
        <f>-</f>
      </c>
      <c r="H632" s="3">
        <f>=ROUND((1000/((1000/E632) + (1000/f632))),2)</f>
      </c>
      <c r="I632" s="3">
        <f>=ROUND((1000/((1000/E632) + (1000/G632))),2)</f>
      </c>
      <c r="J632" s="3">
        <f>=ROUND((1000/((1000/F632) + (1000/G632))),2)</f>
      </c>
    </row>
    <row r="633">
      <c r="A633" s="2" t="str">
        <v>01/05 ВС</v>
      </c>
      <c r="B633" s="2" t="str">
        <v>18:00</v>
      </c>
      <c r="C633" s="2" t="str">
        <v>ЛЮКСЕМБУРГ ЛЮКСЕМБУРГ</v>
      </c>
      <c r="D633" s="2" t="str">
        <v>Мондорф-Этцелла</v>
      </c>
      <c r="E633" s="3">
        <f>-</f>
      </c>
      <c r="F633" s="3">
        <f>-</f>
      </c>
      <c r="G633" s="3">
        <f>-</f>
      </c>
      <c r="H633" s="3">
        <f>=ROUND((1000/((1000/E633) + (1000/f633))),2)</f>
      </c>
      <c r="I633" s="3">
        <f>=ROUND((1000/((1000/E633) + (1000/G633))),2)</f>
      </c>
      <c r="J633" s="3">
        <f>=ROUND((1000/((1000/F633) + (1000/G633))),2)</f>
      </c>
    </row>
    <row r="634">
      <c r="A634" s="2" t="str">
        <v>01/05 ВС</v>
      </c>
      <c r="B634" s="2" t="str">
        <v>18:00</v>
      </c>
      <c r="C634" s="2" t="str">
        <v>ЛЮКСЕМБУРГ ЛЮКСЕМБУРГ</v>
      </c>
      <c r="D634" s="2" t="str">
        <v>Прогрес Нидеркорн-Бенфика</v>
      </c>
      <c r="E634" s="3">
        <f>-</f>
      </c>
      <c r="F634" s="3">
        <f>-</f>
      </c>
      <c r="G634" s="3">
        <f>-</f>
      </c>
      <c r="H634" s="3">
        <f>=ROUND((1000/((1000/E634) + (1000/f634))),2)</f>
      </c>
      <c r="I634" s="3">
        <f>=ROUND((1000/((1000/E634) + (1000/G634))),2)</f>
      </c>
      <c r="J634" s="3">
        <f>=ROUND((1000/((1000/F634) + (1000/G634))),2)</f>
      </c>
    </row>
    <row r="635">
      <c r="A635" s="2" t="str">
        <v>01/05 ВС</v>
      </c>
      <c r="B635" s="2" t="str">
        <v>18:00</v>
      </c>
      <c r="C635" s="2" t="str">
        <v>ЛЮКСЕМБУРГ ЛЮКСЕМБУРГ</v>
      </c>
      <c r="D635" s="2" t="str">
        <v>Унион Титус-Дифферданж</v>
      </c>
      <c r="E635" s="3">
        <f>-</f>
      </c>
      <c r="F635" s="3">
        <f>-</f>
      </c>
      <c r="G635" s="3">
        <f>-</f>
      </c>
      <c r="H635" s="3">
        <f>=ROUND((1000/((1000/E635) + (1000/f635))),2)</f>
      </c>
      <c r="I635" s="3">
        <f>=ROUND((1000/((1000/E635) + (1000/G635))),2)</f>
      </c>
      <c r="J635" s="3">
        <f>=ROUND((1000/((1000/F635) + (1000/G635))),2)</f>
      </c>
    </row>
    <row r="636">
      <c r="A636" s="2" t="str">
        <v>01/05 ВС</v>
      </c>
      <c r="B636" s="2" t="str">
        <v>18:00</v>
      </c>
      <c r="C636" s="2" t="str">
        <v>ЛЮКСЕМБУРГ ЛЮКСЕМБУРГ</v>
      </c>
      <c r="D636" s="2" t="str">
        <v>Хостерт-Фола</v>
      </c>
      <c r="E636" s="3">
        <f>-</f>
      </c>
      <c r="F636" s="3">
        <f>-</f>
      </c>
      <c r="G636" s="3">
        <f>-</f>
      </c>
      <c r="H636" s="3">
        <f>=ROUND((1000/((1000/E636) + (1000/f636))),2)</f>
      </c>
      <c r="I636" s="3">
        <f>=ROUND((1000/((1000/E636) + (1000/G636))),2)</f>
      </c>
      <c r="J636" s="3">
        <f>=ROUND((1000/((1000/F636) + (1000/G636))),2)</f>
      </c>
    </row>
    <row r="637">
      <c r="A637" s="2" t="str">
        <v>01/05 ВС</v>
      </c>
      <c r="B637" s="2" t="str">
        <v>14:00</v>
      </c>
      <c r="C637" s="2" t="str">
        <v>МАКАО МАКАО</v>
      </c>
      <c r="D637" s="2" t="str">
        <v>CFB Macau-Лунь Лок</v>
      </c>
      <c r="E637" s="3">
        <f>-</f>
      </c>
      <c r="F637" s="3">
        <f>-</f>
      </c>
      <c r="G637" s="3">
        <f>-</f>
      </c>
      <c r="H637" s="3">
        <f>=ROUND((1000/((1000/E637) + (1000/f637))),2)</f>
      </c>
      <c r="I637" s="3">
        <f>=ROUND((1000/((1000/E637) + (1000/G637))),2)</f>
      </c>
      <c r="J637" s="3">
        <f>=ROUND((1000/((1000/F637) + (1000/G637))),2)</f>
      </c>
    </row>
    <row r="638">
      <c r="A638" s="2" t="str">
        <v>01/05 ВС</v>
      </c>
      <c r="B638" s="2" t="str">
        <v>16:00</v>
      </c>
      <c r="C638" s="2" t="str">
        <v>МАКАО МАКАО</v>
      </c>
      <c r="D638" s="2" t="str">
        <v>Монте-Карло-Каса де Португал</v>
      </c>
      <c r="E638" s="3">
        <f>-</f>
      </c>
      <c r="F638" s="3">
        <f>-</f>
      </c>
      <c r="G638" s="3">
        <f>-</f>
      </c>
      <c r="H638" s="3">
        <f>=ROUND((1000/((1000/E638) + (1000/f638))),2)</f>
      </c>
      <c r="I638" s="3">
        <f>=ROUND((1000/((1000/E638) + (1000/G638))),2)</f>
      </c>
      <c r="J638" s="3">
        <f>=ROUND((1000/((1000/F638) + (1000/G638))),2)</f>
      </c>
    </row>
    <row r="639">
      <c r="A639" s="2" t="str">
        <v>01/05 ВС</v>
      </c>
      <c r="B639" s="2" t="str">
        <v>16:30</v>
      </c>
      <c r="C639" s="2" t="str">
        <v>МАЛАВИ МАЛАВИ</v>
      </c>
      <c r="D639" s="2" t="str">
        <v>Биг Буллетс-Румфи Юнайтед</v>
      </c>
      <c r="E639" s="3">
        <f>-</f>
      </c>
      <c r="F639" s="3">
        <f>-</f>
      </c>
      <c r="G639" s="3">
        <f>-</f>
      </c>
      <c r="H639" s="3">
        <f>=ROUND((1000/((1000/E639) + (1000/f639))),2)</f>
      </c>
      <c r="I639" s="3">
        <f>=ROUND((1000/((1000/E639) + (1000/G639))),2)</f>
      </c>
      <c r="J639" s="3">
        <f>=ROUND((1000/((1000/F639) + (1000/G639))),2)</f>
      </c>
    </row>
    <row r="640">
      <c r="A640" s="2" t="str">
        <v>01/05 ВС</v>
      </c>
      <c r="B640" s="2" t="str">
        <v>Перенесен</v>
      </c>
      <c r="C640" s="2" t="str">
        <v>МАЛАВИ МАЛАВИ</v>
      </c>
      <c r="D640" s="2" t="str">
        <v>Каронга Юнайтед-Майти Тайгерс</v>
      </c>
      <c r="E640" s="3">
        <f>-</f>
      </c>
      <c r="F640" s="3">
        <f>-</f>
      </c>
      <c r="G640" s="3">
        <f>-</f>
      </c>
      <c r="H640" s="3">
        <f>=ROUND((1000/((1000/E640) + (1000/f640))),2)</f>
      </c>
      <c r="I640" s="3">
        <f>=ROUND((1000/((1000/E640) + (1000/G640))),2)</f>
      </c>
      <c r="J640" s="3">
        <f>=ROUND((1000/((1000/F640) + (1000/G640))),2)</f>
      </c>
    </row>
    <row r="641">
      <c r="A641" s="2" t="str">
        <v>01/05 ВС</v>
      </c>
      <c r="B641" s="2" t="str">
        <v>16:30</v>
      </c>
      <c r="C641" s="2" t="str">
        <v>МАЛАВИ МАЛАВИ</v>
      </c>
      <c r="D641" s="2" t="str">
        <v>Каронга Юнайтед-МАФКО</v>
      </c>
      <c r="E641" s="3">
        <f>-</f>
      </c>
      <c r="F641" s="3">
        <f>-</f>
      </c>
      <c r="G641" s="3">
        <f>-</f>
      </c>
      <c r="H641" s="3">
        <f>=ROUND((1000/((1000/E641) + (1000/f641))),2)</f>
      </c>
      <c r="I641" s="3">
        <f>=ROUND((1000/((1000/E641) + (1000/G641))),2)</f>
      </c>
      <c r="J641" s="3">
        <f>=ROUND((1000/((1000/F641) + (1000/G641))),2)</f>
      </c>
    </row>
    <row r="642">
      <c r="A642" s="2" t="str">
        <v>01/05 ВС</v>
      </c>
      <c r="B642" s="2" t="str">
        <v>Перенесен</v>
      </c>
      <c r="C642" s="2" t="str">
        <v>МАЛАВИ МАЛАВИ</v>
      </c>
      <c r="D642" s="2" t="str">
        <v>Мояле Барракс-Дедза Динамос</v>
      </c>
      <c r="E642" s="3">
        <f>-</f>
      </c>
      <c r="F642" s="3">
        <f>-</f>
      </c>
      <c r="G642" s="3">
        <f>-</f>
      </c>
      <c r="H642" s="3">
        <f>=ROUND((1000/((1000/E642) + (1000/f642))),2)</f>
      </c>
      <c r="I642" s="3">
        <f>=ROUND((1000/((1000/E642) + (1000/G642))),2)</f>
      </c>
      <c r="J642" s="3">
        <f>=ROUND((1000/((1000/F642) + (1000/G642))),2)</f>
      </c>
    </row>
    <row r="643">
      <c r="A643" s="2" t="str">
        <v>01/05 ВС</v>
      </c>
      <c r="B643" s="2" t="str">
        <v>16:30</v>
      </c>
      <c r="C643" s="2" t="str">
        <v>МАЛАВИ МАЛАВИ</v>
      </c>
      <c r="D643" s="2" t="str">
        <v>СИВО Юнайтед-Камудзу Барракс</v>
      </c>
      <c r="E643" s="3">
        <f>-</f>
      </c>
      <c r="F643" s="3">
        <f>-</f>
      </c>
      <c r="G643" s="3">
        <f>-</f>
      </c>
      <c r="H643" s="3">
        <f>=ROUND((1000/((1000/E643) + (1000/f643))),2)</f>
      </c>
      <c r="I643" s="3">
        <f>=ROUND((1000/((1000/E643) + (1000/G643))),2)</f>
      </c>
      <c r="J643" s="3">
        <f>=ROUND((1000/((1000/F643) + (1000/G643))),2)</f>
      </c>
    </row>
    <row r="644">
      <c r="A644" s="2" t="str">
        <v>01/05 ВС</v>
      </c>
      <c r="B644" s="2" t="str">
        <v>Перенесен</v>
      </c>
      <c r="C644" s="2" t="str">
        <v>МАЛАВИ МАЛАВИ</v>
      </c>
      <c r="D644" s="2" t="str">
        <v>СИВО Юнайтед-ТН Старс</v>
      </c>
      <c r="E644" s="3">
        <f>-</f>
      </c>
      <c r="F644" s="3">
        <f>-</f>
      </c>
      <c r="G644" s="3">
        <f>-</f>
      </c>
      <c r="H644" s="3">
        <f>=ROUND((1000/((1000/E644) + (1000/f644))),2)</f>
      </c>
      <c r="I644" s="3">
        <f>=ROUND((1000/((1000/E644) + (1000/G644))),2)</f>
      </c>
      <c r="J644" s="3">
        <f>=ROUND((1000/((1000/F644) + (1000/G644))),2)</f>
      </c>
    </row>
    <row r="645">
      <c r="A645" s="2" t="str">
        <v>01/05 ВС</v>
      </c>
      <c r="B645" s="2" t="str">
        <v>16:30</v>
      </c>
      <c r="C645" s="2" t="str">
        <v>МАЛАВИ МАЛАВИ</v>
      </c>
      <c r="D645" s="2" t="str">
        <v>Эквендени Хаммерс-Мояле Барракс</v>
      </c>
      <c r="E645" s="3">
        <f>-</f>
      </c>
      <c r="F645" s="3">
        <f>-</f>
      </c>
      <c r="G645" s="3">
        <f>-</f>
      </c>
      <c r="H645" s="3">
        <f>=ROUND((1000/((1000/E645) + (1000/f645))),2)</f>
      </c>
      <c r="I645" s="3">
        <f>=ROUND((1000/((1000/E645) + (1000/G645))),2)</f>
      </c>
      <c r="J645" s="3">
        <f>=ROUND((1000/((1000/F645) + (1000/G645))),2)</f>
      </c>
    </row>
    <row r="646">
      <c r="A646" s="2" t="str">
        <v>01/05 ВС</v>
      </c>
      <c r="B646" s="2" t="str">
        <v>18:00</v>
      </c>
      <c r="C646" s="2" t="str">
        <v>МАЛЬТА МАЛЬТА</v>
      </c>
      <c r="D646" s="2" t="str">
        <v>Санта-Люсия-Слима</v>
      </c>
      <c r="E646" s="3">
        <f>-</f>
      </c>
      <c r="F646" s="3">
        <f>-</f>
      </c>
      <c r="G646" s="3">
        <f>-</f>
      </c>
      <c r="H646" s="3">
        <f>=ROUND((1000/((1000/E646) + (1000/f646))),2)</f>
      </c>
      <c r="I646" s="3">
        <f>=ROUND((1000/((1000/E646) + (1000/G646))),2)</f>
      </c>
      <c r="J646" s="3">
        <f>=ROUND((1000/((1000/F646) + (1000/G646))),2)</f>
      </c>
    </row>
    <row r="647">
      <c r="A647" s="2" t="str">
        <v>01/05 ВС</v>
      </c>
      <c r="B647" s="2" t="str">
        <v>17:00</v>
      </c>
      <c r="C647" s="2" t="str">
        <v>МАЛЬТА МАЛЬТА</v>
      </c>
      <c r="D647" s="2" t="str">
        <v>Хибернианс-Биркиркара</v>
      </c>
      <c r="E647" s="3">
        <f>-</f>
      </c>
      <c r="F647" s="3">
        <f>-</f>
      </c>
      <c r="G647" s="3">
        <f>-</f>
      </c>
      <c r="H647" s="3">
        <f>=ROUND((1000/((1000/E647) + (1000/f647))),2)</f>
      </c>
      <c r="I647" s="3">
        <f>=ROUND((1000/((1000/E647) + (1000/G647))),2)</f>
      </c>
      <c r="J647" s="3">
        <f>=ROUND((1000/((1000/F647) + (1000/G647))),2)</f>
      </c>
    </row>
    <row r="648">
      <c r="A648" s="2" t="str">
        <v>01/05 ВС</v>
      </c>
      <c r="B648" s="2" t="str">
        <v>20:15</v>
      </c>
      <c r="C648" s="2" t="str">
        <v>МАЛЬТА МАЛЬТА</v>
      </c>
      <c r="D648" s="2" t="str">
        <v>Гзира-Гуджа</v>
      </c>
      <c r="E648" s="3">
        <f>-</f>
      </c>
      <c r="F648" s="3">
        <f>-</f>
      </c>
      <c r="G648" s="3">
        <f>-</f>
      </c>
      <c r="H648" s="3">
        <f>=ROUND((1000/((1000/E648) + (1000/f648))),2)</f>
      </c>
      <c r="I648" s="3">
        <f>=ROUND((1000/((1000/E648) + (1000/G648))),2)</f>
      </c>
      <c r="J648" s="3">
        <f>=ROUND((1000/((1000/F648) + (1000/G648))),2)</f>
      </c>
    </row>
    <row r="649">
      <c r="A649" s="2" t="str">
        <v>01/05 ВС</v>
      </c>
      <c r="B649" s="2" t="str">
        <v>02:00</v>
      </c>
      <c r="C649" s="2" t="str">
        <v>МАРОККО МАРОККО</v>
      </c>
      <c r="D649" s="2" t="str">
        <v>Беркан-Jeunesse Sportive Soualem</v>
      </c>
      <c r="E649" s="3">
        <f>1.66</f>
      </c>
      <c r="F649" s="3">
        <f>3.10</f>
      </c>
      <c r="G649" s="3">
        <f>5.25</f>
      </c>
      <c r="H649" s="3">
        <f>=ROUND((1000/((1000/E649) + (1000/f649))),2)</f>
      </c>
      <c r="I649" s="3">
        <f>=ROUND((1000/((1000/E649) + (1000/G649))),2)</f>
      </c>
      <c r="J649" s="3">
        <f>=ROUND((1000/((1000/F649) + (1000/G649))),2)</f>
      </c>
    </row>
    <row r="650">
      <c r="A650" s="2" t="str">
        <v>01/05 ВС</v>
      </c>
      <c r="B650" s="2" t="str">
        <v>02:00</v>
      </c>
      <c r="C650" s="2" t="str">
        <v>МЕКСИКА МЕКСИКА</v>
      </c>
      <c r="D650" s="2" t="str">
        <v>Керетаро-Хуарес</v>
      </c>
      <c r="E650" s="3">
        <f>1.80</f>
      </c>
      <c r="F650" s="3">
        <f>3.30</f>
      </c>
      <c r="G650" s="3">
        <f>5.00</f>
      </c>
      <c r="H650" s="3">
        <f>=ROUND((1000/((1000/E650) + (1000/f650))),2)</f>
      </c>
      <c r="I650" s="3">
        <f>=ROUND((1000/((1000/E650) + (1000/G650))),2)</f>
      </c>
      <c r="J650" s="3">
        <f>=ROUND((1000/((1000/F650) + (1000/G650))),2)</f>
      </c>
    </row>
    <row r="651">
      <c r="A651" s="2" t="str">
        <v>01/05 ВС</v>
      </c>
      <c r="B651" s="2" t="str">
        <v>04:00</v>
      </c>
      <c r="C651" s="2" t="str">
        <v>МЕКСИКА МЕКСИКА</v>
      </c>
      <c r="D651" s="2" t="str">
        <v>Атлас-Тигрес</v>
      </c>
      <c r="E651" s="3">
        <f>2.25</f>
      </c>
      <c r="F651" s="3">
        <f>3.10</f>
      </c>
      <c r="G651" s="3">
        <f>3.50</f>
      </c>
      <c r="H651" s="3">
        <f>=ROUND((1000/((1000/E651) + (1000/f651))),2)</f>
      </c>
      <c r="I651" s="3">
        <f>=ROUND((1000/((1000/E651) + (1000/G651))),2)</f>
      </c>
      <c r="J651" s="3">
        <f>=ROUND((1000/((1000/F651) + (1000/G651))),2)</f>
      </c>
    </row>
    <row r="652">
      <c r="A652" s="2" t="str">
        <v>01/05 ВС</v>
      </c>
      <c r="B652" s="2" t="str">
        <v>04:06</v>
      </c>
      <c r="C652" s="2" t="str">
        <v>МЕКСИКА МЕКСИКА</v>
      </c>
      <c r="D652" s="2" t="str">
        <v>Монтеррей-Тихуана</v>
      </c>
      <c r="E652" s="3">
        <f>1.53</f>
      </c>
      <c r="F652" s="3">
        <f>4.00</f>
      </c>
      <c r="G652" s="3">
        <f>6.50</f>
      </c>
      <c r="H652" s="3">
        <f>=ROUND((1000/((1000/E652) + (1000/f652))),2)</f>
      </c>
      <c r="I652" s="3">
        <f>=ROUND((1000/((1000/E652) + (1000/G652))),2)</f>
      </c>
      <c r="J652" s="3">
        <f>=ROUND((1000/((1000/F652) + (1000/G652))),2)</f>
      </c>
    </row>
    <row r="653">
      <c r="A653" s="2" t="str">
        <v>01/05 ВС</v>
      </c>
      <c r="B653" s="2" t="str">
        <v>06:00</v>
      </c>
      <c r="C653" s="2" t="str">
        <v>МЕКСИКА МЕКСИКА</v>
      </c>
      <c r="D653" s="2" t="str">
        <v>Америка-Крус Асуль</v>
      </c>
      <c r="E653" s="3">
        <f>1.80</f>
      </c>
      <c r="F653" s="3">
        <f>3.60</f>
      </c>
      <c r="G653" s="3">
        <f>4.50</f>
      </c>
      <c r="H653" s="3">
        <f>=ROUND((1000/((1000/E653) + (1000/f653))),2)</f>
      </c>
      <c r="I653" s="3">
        <f>=ROUND((1000/((1000/E653) + (1000/G653))),2)</f>
      </c>
      <c r="J653" s="3">
        <f>=ROUND((1000/((1000/F653) + (1000/G653))),2)</f>
      </c>
    </row>
    <row r="654">
      <c r="A654" s="2" t="str">
        <v>01/05 ВС</v>
      </c>
      <c r="B654" s="2" t="str">
        <v>21:00</v>
      </c>
      <c r="C654" s="2" t="str">
        <v>МЕКСИКА МЕКСИКА</v>
      </c>
      <c r="D654" s="2" t="str">
        <v>Пумас-Пачука</v>
      </c>
      <c r="E654" s="3">
        <f>2.90</f>
      </c>
      <c r="F654" s="3">
        <f>3.25</f>
      </c>
      <c r="G654" s="3">
        <f>2.50</f>
      </c>
      <c r="H654" s="3">
        <f>=ROUND((1000/((1000/E654) + (1000/f654))),2)</f>
      </c>
      <c r="I654" s="3">
        <f>=ROUND((1000/((1000/E654) + (1000/G654))),2)</f>
      </c>
      <c r="J654" s="3">
        <f>=ROUND((1000/((1000/F654) + (1000/G654))),2)</f>
      </c>
    </row>
    <row r="655">
      <c r="A655" s="2" t="str">
        <v>01/05 ВС</v>
      </c>
      <c r="B655" s="2" t="str">
        <v>02:00</v>
      </c>
      <c r="C655" s="2" t="str">
        <v>МЕКСИКА МЕКСИКА</v>
      </c>
      <c r="D655" s="2" t="str">
        <v>Алебрихес де Оахака-Симарронес Сонора</v>
      </c>
      <c r="E655" s="3">
        <f>-</f>
      </c>
      <c r="F655" s="3">
        <f>-</f>
      </c>
      <c r="G655" s="3">
        <f>-</f>
      </c>
      <c r="H655" s="3">
        <f>=ROUND((1000/((1000/E655) + (1000/f655))),2)</f>
      </c>
      <c r="I655" s="3">
        <f>=ROUND((1000/((1000/E655) + (1000/G655))),2)</f>
      </c>
      <c r="J655" s="3">
        <f>=ROUND((1000/((1000/F655) + (1000/G655))),2)</f>
      </c>
    </row>
    <row r="656" xml:space="preserve">
      <c r="A656" s="2" t="str">
        <v>01/05 ВС</v>
      </c>
      <c r="B656" s="2" t="str" xml:space="preserve">
        <v xml:space="preserve">01:00_x000d_
TKP</v>
      </c>
      <c r="C656" s="2" t="str">
        <v>МЕКСИКА МЕКСИКА</v>
      </c>
      <c r="D656" s="2" t="str">
        <v>Интер Плайя-дель-Кармен-Кафеталерос</v>
      </c>
      <c r="E656" s="3">
        <f>-</f>
      </c>
      <c r="F656" s="3">
        <f>-</f>
      </c>
      <c r="G656" s="3">
        <f>-</f>
      </c>
      <c r="H656" s="3">
        <f>=ROUND((1000/((1000/E656) + (1000/f656))),2)</f>
      </c>
      <c r="I656" s="3">
        <f>=ROUND((1000/((1000/E656) + (1000/G656))),2)</f>
      </c>
      <c r="J656" s="3">
        <f>=ROUND((1000/((1000/F656) + (1000/G656))),2)</f>
      </c>
    </row>
    <row r="657" xml:space="preserve">
      <c r="A657" s="2" t="str">
        <v>01/05 ВС</v>
      </c>
      <c r="B657" s="2" t="str" xml:space="preserve">
        <v xml:space="preserve">02:30_x000d_
TKP</v>
      </c>
      <c r="C657" s="2" t="str">
        <v>МЕКСИКА МЕКСИКА</v>
      </c>
      <c r="D657" s="2" t="str">
        <v>Мазоркьерос-Тритонес Вальярта</v>
      </c>
      <c r="E657" s="3">
        <f>-</f>
      </c>
      <c r="F657" s="3">
        <f>-</f>
      </c>
      <c r="G657" s="3">
        <f>-</f>
      </c>
      <c r="H657" s="3">
        <f>=ROUND((1000/((1000/E657) + (1000/f657))),2)</f>
      </c>
      <c r="I657" s="3">
        <f>=ROUND((1000/((1000/E657) + (1000/G657))),2)</f>
      </c>
      <c r="J657" s="3">
        <f>=ROUND((1000/((1000/F657) + (1000/G657))),2)</f>
      </c>
    </row>
    <row r="658" xml:space="preserve">
      <c r="A658" s="2" t="str">
        <v>01/05 ВС</v>
      </c>
      <c r="B658" s="2" t="str" xml:space="preserve">
        <v xml:space="preserve">01:00_x000d_
TKP</v>
      </c>
      <c r="C658" s="2" t="str">
        <v>МЕКСИКА МЕКСИКА</v>
      </c>
      <c r="D658" s="2" t="str">
        <v>Ураканес-Алебрихес де Оахака 2</v>
      </c>
      <c r="E658" s="3">
        <f>-</f>
      </c>
      <c r="F658" s="3">
        <f>-</f>
      </c>
      <c r="G658" s="3">
        <f>-</f>
      </c>
      <c r="H658" s="3">
        <f>=ROUND((1000/((1000/E658) + (1000/f658))),2)</f>
      </c>
      <c r="I658" s="3">
        <f>=ROUND((1000/((1000/E658) + (1000/G658))),2)</f>
      </c>
      <c r="J658" s="3">
        <f>=ROUND((1000/((1000/F658) + (1000/G658))),2)</f>
      </c>
    </row>
    <row r="659" xml:space="preserve">
      <c r="A659" s="2" t="str">
        <v>01/05 ВС</v>
      </c>
      <c r="B659" s="2" t="str" xml:space="preserve">
        <v xml:space="preserve">18:00_x000d_
TKP</v>
      </c>
      <c r="C659" s="2" t="str">
        <v>МЕКСИКА МЕКСИКА</v>
      </c>
      <c r="D659" s="2" t="str">
        <v>Атлетико Сан-Луис U20-Сантос Лагуна U20</v>
      </c>
      <c r="E659" s="3">
        <f>-</f>
      </c>
      <c r="F659" s="3">
        <f>-</f>
      </c>
      <c r="G659" s="3">
        <f>-</f>
      </c>
      <c r="H659" s="3">
        <f>=ROUND((1000/((1000/E659) + (1000/f659))),2)</f>
      </c>
      <c r="I659" s="3">
        <f>=ROUND((1000/((1000/E659) + (1000/G659))),2)</f>
      </c>
      <c r="J659" s="3">
        <f>=ROUND((1000/((1000/F659) + (1000/G659))),2)</f>
      </c>
    </row>
    <row r="660" xml:space="preserve">
      <c r="A660" s="2" t="str">
        <v>01/05 ВС</v>
      </c>
      <c r="B660" s="2" t="str" xml:space="preserve">
        <v xml:space="preserve">18:00_x000d_
TKP</v>
      </c>
      <c r="C660" s="2" t="str">
        <v>МЕКСИКА МЕКСИКА</v>
      </c>
      <c r="D660" s="2" t="str">
        <v>Клуб Леон U20-Толука U20</v>
      </c>
      <c r="E660" s="3">
        <f>-</f>
      </c>
      <c r="F660" s="3">
        <f>-</f>
      </c>
      <c r="G660" s="3">
        <f>-</f>
      </c>
      <c r="H660" s="3">
        <f>=ROUND((1000/((1000/E660) + (1000/f660))),2)</f>
      </c>
      <c r="I660" s="3">
        <f>=ROUND((1000/((1000/E660) + (1000/G660))),2)</f>
      </c>
      <c r="J660" s="3">
        <f>=ROUND((1000/((1000/F660) + (1000/G660))),2)</f>
      </c>
    </row>
    <row r="661" xml:space="preserve">
      <c r="A661" s="2" t="str">
        <v>01/05 ВС</v>
      </c>
      <c r="B661" s="2" t="str" xml:space="preserve">
        <v xml:space="preserve">18:00_x000d_
TKP</v>
      </c>
      <c r="C661" s="2" t="str">
        <v>МЕКСИКА МЕКСИКА</v>
      </c>
      <c r="D661" s="2" t="str">
        <v>Пумас U20-Пачука U20</v>
      </c>
      <c r="E661" s="3">
        <f>-</f>
      </c>
      <c r="F661" s="3">
        <f>-</f>
      </c>
      <c r="G661" s="3">
        <f>-</f>
      </c>
      <c r="H661" s="3">
        <f>=ROUND((1000/((1000/E661) + (1000/f661))),2)</f>
      </c>
      <c r="I661" s="3">
        <f>=ROUND((1000/((1000/E661) + (1000/G661))),2)</f>
      </c>
      <c r="J661" s="3">
        <f>=ROUND((1000/((1000/F661) + (1000/G661))),2)</f>
      </c>
    </row>
    <row r="662">
      <c r="A662" s="2" t="str">
        <v>01/05 ВС</v>
      </c>
      <c r="B662" s="2" t="str">
        <v>04:00</v>
      </c>
      <c r="C662" s="2" t="str">
        <v>МЕКСИКА МЕКСИКА</v>
      </c>
      <c r="D662" s="2" t="str">
        <v>Пачука (Ж)-Некакса (Ж)</v>
      </c>
      <c r="E662" s="3">
        <f>-</f>
      </c>
      <c r="F662" s="3">
        <f>-</f>
      </c>
      <c r="G662" s="3">
        <f>-</f>
      </c>
      <c r="H662" s="3">
        <f>=ROUND((1000/((1000/E662) + (1000/f662))),2)</f>
      </c>
      <c r="I662" s="3">
        <f>=ROUND((1000/((1000/E662) + (1000/G662))),2)</f>
      </c>
      <c r="J662" s="3">
        <f>=ROUND((1000/((1000/F662) + (1000/G662))),2)</f>
      </c>
    </row>
    <row r="663">
      <c r="A663" s="2" t="str">
        <v>01/05 ВС</v>
      </c>
      <c r="B663" s="2" t="str">
        <v>13:00</v>
      </c>
      <c r="C663" s="2" t="str">
        <v>МОНГОЛИЯ МОНГОЛИЯ</v>
      </c>
      <c r="D663" s="2" t="str">
        <v>Ховд-Лайонс</v>
      </c>
      <c r="E663" s="3">
        <f>-</f>
      </c>
      <c r="F663" s="3">
        <f>-</f>
      </c>
      <c r="G663" s="3">
        <f>-</f>
      </c>
      <c r="H663" s="3">
        <f>=ROUND((1000/((1000/E663) + (1000/f663))),2)</f>
      </c>
      <c r="I663" s="3">
        <f>=ROUND((1000/((1000/E663) + (1000/G663))),2)</f>
      </c>
      <c r="J663" s="3">
        <f>=ROUND((1000/((1000/F663) + (1000/G663))),2)</f>
      </c>
    </row>
    <row r="664">
      <c r="A664" s="2" t="str">
        <v>01/05 ВС</v>
      </c>
      <c r="B664" s="2" t="str">
        <v>16:00</v>
      </c>
      <c r="C664" s="2" t="str">
        <v>МОНГОЛИЯ МОНГОЛИЯ</v>
      </c>
      <c r="D664" s="2" t="str">
        <v>ФК Улан-Батор-Тув Буганууд</v>
      </c>
      <c r="E664" s="3">
        <f>-</f>
      </c>
      <c r="F664" s="3">
        <f>-</f>
      </c>
      <c r="G664" s="3">
        <f>-</f>
      </c>
      <c r="H664" s="3">
        <f>=ROUND((1000/((1000/E664) + (1000/f664))),2)</f>
      </c>
      <c r="I664" s="3">
        <f>=ROUND((1000/((1000/E664) + (1000/G664))),2)</f>
      </c>
      <c r="J664" s="3">
        <f>=ROUND((1000/((1000/F664) + (1000/G664))),2)</f>
      </c>
    </row>
    <row r="665">
      <c r="A665" s="2" t="str">
        <v>01/05 ВС</v>
      </c>
      <c r="B665" s="2" t="str">
        <v>19:00</v>
      </c>
      <c r="C665" s="2" t="str">
        <v>НИГЕРИЯ НИГЕРИЯ</v>
      </c>
      <c r="D665" s="2" t="str">
        <v>Катсина Юнайтед-Аква</v>
      </c>
      <c r="E665" s="3">
        <f>-</f>
      </c>
      <c r="F665" s="3">
        <f>-</f>
      </c>
      <c r="G665" s="3">
        <f>-</f>
      </c>
      <c r="H665" s="3">
        <f>=ROUND((1000/((1000/E665) + (1000/f665))),2)</f>
      </c>
      <c r="I665" s="3">
        <f>=ROUND((1000/((1000/E665) + (1000/G665))),2)</f>
      </c>
      <c r="J665" s="3">
        <f>=ROUND((1000/((1000/F665) + (1000/G665))),2)</f>
      </c>
    </row>
    <row r="666">
      <c r="A666" s="2" t="str">
        <v>01/05 ВС</v>
      </c>
      <c r="B666" s="2" t="str">
        <v>19:00</v>
      </c>
      <c r="C666" s="2" t="str">
        <v>НИГЕРИЯ НИГЕРИЯ</v>
      </c>
      <c r="D666" s="2" t="str">
        <v>Квара-Риверс Юнайтед</v>
      </c>
      <c r="E666" s="3">
        <f>-</f>
      </c>
      <c r="F666" s="3">
        <f>-</f>
      </c>
      <c r="G666" s="3">
        <f>-</f>
      </c>
      <c r="H666" s="3">
        <f>=ROUND((1000/((1000/E666) + (1000/f666))),2)</f>
      </c>
      <c r="I666" s="3">
        <f>=ROUND((1000/((1000/E666) + (1000/G666))),2)</f>
      </c>
      <c r="J666" s="3">
        <f>=ROUND((1000/((1000/F666) + (1000/G666))),2)</f>
      </c>
    </row>
    <row r="667">
      <c r="A667" s="2" t="str">
        <v>01/05 ВС</v>
      </c>
      <c r="B667" s="2" t="str">
        <v>19:00</v>
      </c>
      <c r="C667" s="2" t="str">
        <v>НИГЕРИЯ НИГЕРИЯ</v>
      </c>
      <c r="D667" s="2" t="str">
        <v>Лоби Старс-Насарава</v>
      </c>
      <c r="E667" s="3">
        <f>-</f>
      </c>
      <c r="F667" s="3">
        <f>-</f>
      </c>
      <c r="G667" s="3">
        <f>-</f>
      </c>
      <c r="H667" s="3">
        <f>=ROUND((1000/((1000/E667) + (1000/f667))),2)</f>
      </c>
      <c r="I667" s="3">
        <f>=ROUND((1000/((1000/E667) + (1000/G667))),2)</f>
      </c>
      <c r="J667" s="3">
        <f>=ROUND((1000/((1000/F667) + (1000/G667))),2)</f>
      </c>
    </row>
    <row r="668">
      <c r="A668" s="2" t="str">
        <v>01/05 ВС</v>
      </c>
      <c r="B668" s="2" t="str">
        <v>19:00</v>
      </c>
      <c r="C668" s="2" t="str">
        <v>НИГЕРИЯ НИГЕРИЯ</v>
      </c>
      <c r="D668" s="2" t="str">
        <v>МФМ-Энугу</v>
      </c>
      <c r="E668" s="3">
        <f>-</f>
      </c>
      <c r="F668" s="3">
        <f>-</f>
      </c>
      <c r="G668" s="3">
        <f>-</f>
      </c>
      <c r="H668" s="3">
        <f>=ROUND((1000/((1000/E668) + (1000/f668))),2)</f>
      </c>
      <c r="I668" s="3">
        <f>=ROUND((1000/((1000/E668) + (1000/G668))),2)</f>
      </c>
      <c r="J668" s="3">
        <f>=ROUND((1000/((1000/F668) + (1000/G668))),2)</f>
      </c>
    </row>
    <row r="669">
      <c r="A669" s="2" t="str">
        <v>01/05 ВС</v>
      </c>
      <c r="B669" s="2" t="str">
        <v>19:00</v>
      </c>
      <c r="C669" s="2" t="str">
        <v>НИГЕРИЯ НИГЕРИЯ</v>
      </c>
      <c r="D669" s="2" t="str">
        <v>Ремо Старс-Викки</v>
      </c>
      <c r="E669" s="3">
        <f>-</f>
      </c>
      <c r="F669" s="3">
        <f>-</f>
      </c>
      <c r="G669" s="3">
        <f>-</f>
      </c>
      <c r="H669" s="3">
        <f>=ROUND((1000/((1000/E669) + (1000/f669))),2)</f>
      </c>
      <c r="I669" s="3">
        <f>=ROUND((1000/((1000/E669) + (1000/G669))),2)</f>
      </c>
      <c r="J669" s="3">
        <f>=ROUND((1000/((1000/F669) + (1000/G669))),2)</f>
      </c>
    </row>
    <row r="670">
      <c r="A670" s="2" t="str">
        <v>01/05 ВС</v>
      </c>
      <c r="B670" s="2" t="str">
        <v>19:00</v>
      </c>
      <c r="C670" s="2" t="str">
        <v>НИГЕРИЯ НИГЕРИЯ</v>
      </c>
      <c r="D670" s="2" t="str">
        <v>Саншайн Старс-Шутинг Старс</v>
      </c>
      <c r="E670" s="3">
        <f>-</f>
      </c>
      <c r="F670" s="3">
        <f>-</f>
      </c>
      <c r="G670" s="3">
        <f>-</f>
      </c>
      <c r="H670" s="3">
        <f>=ROUND((1000/((1000/E670) + (1000/f670))),2)</f>
      </c>
      <c r="I670" s="3">
        <f>=ROUND((1000/((1000/E670) + (1000/G670))),2)</f>
      </c>
      <c r="J670" s="3">
        <f>=ROUND((1000/((1000/F670) + (1000/G670))),2)</f>
      </c>
    </row>
    <row r="671">
      <c r="A671" s="2" t="str">
        <v>01/05 ВС</v>
      </c>
      <c r="B671" s="2" t="str">
        <v>19:00</v>
      </c>
      <c r="C671" s="2" t="str">
        <v>НИГЕРИЯ НИГЕРИЯ</v>
      </c>
      <c r="D671" s="2" t="str">
        <v>Хартленд-Абиа Уорриорз</v>
      </c>
      <c r="E671" s="3">
        <f>-</f>
      </c>
      <c r="F671" s="3">
        <f>-</f>
      </c>
      <c r="G671" s="3">
        <f>-</f>
      </c>
      <c r="H671" s="3">
        <f>=ROUND((1000/((1000/E671) + (1000/f671))),2)</f>
      </c>
      <c r="I671" s="3">
        <f>=ROUND((1000/((1000/E671) + (1000/G671))),2)</f>
      </c>
      <c r="J671" s="3">
        <f>=ROUND((1000/((1000/F671) + (1000/G671))),2)</f>
      </c>
    </row>
    <row r="672">
      <c r="A672" s="2" t="str">
        <v>01/05 ВС</v>
      </c>
      <c r="B672" s="2" t="str">
        <v>16:00</v>
      </c>
      <c r="C672" s="2" t="str">
        <v>НИДЕРЛАНДЫ НИДЕРЛАНДЫ</v>
      </c>
      <c r="D672" s="2" t="str">
        <v>Блау Гел-ХВ-энд-СВ Куик</v>
      </c>
      <c r="E672" s="3">
        <f>-</f>
      </c>
      <c r="F672" s="3">
        <f>-</f>
      </c>
      <c r="G672" s="3">
        <f>-</f>
      </c>
      <c r="H672" s="3">
        <f>=ROUND((1000/((1000/E672) + (1000/f672))),2)</f>
      </c>
      <c r="I672" s="3">
        <f>=ROUND((1000/((1000/E672) + (1000/G672))),2)</f>
      </c>
      <c r="J672" s="3">
        <f>=ROUND((1000/((1000/F672) + (1000/G672))),2)</f>
      </c>
    </row>
    <row r="673">
      <c r="A673" s="2" t="str">
        <v>01/05 ВС</v>
      </c>
      <c r="B673" s="2" t="str">
        <v>16:00</v>
      </c>
      <c r="C673" s="2" t="str">
        <v>НИДЕРЛАНДЫ НИДЕРЛАНДЫ</v>
      </c>
      <c r="D673" s="2" t="str">
        <v>Гемерт-Грене Стер</v>
      </c>
      <c r="E673" s="3">
        <f>-</f>
      </c>
      <c r="F673" s="3">
        <f>-</f>
      </c>
      <c r="G673" s="3">
        <f>-</f>
      </c>
      <c r="H673" s="3">
        <f>=ROUND((1000/((1000/E673) + (1000/f673))),2)</f>
      </c>
      <c r="I673" s="3">
        <f>=ROUND((1000/((1000/E673) + (1000/G673))),2)</f>
      </c>
      <c r="J673" s="3">
        <f>=ROUND((1000/((1000/F673) + (1000/G673))),2)</f>
      </c>
    </row>
    <row r="674">
      <c r="A674" s="2" t="str">
        <v>01/05 ВС</v>
      </c>
      <c r="B674" s="2" t="str">
        <v>16:00</v>
      </c>
      <c r="C674" s="2" t="str">
        <v>НИДЕРЛАНДЫ НИДЕРЛАНДЫ</v>
      </c>
      <c r="D674" s="2" t="str">
        <v>ДЕМ-АДО 20 Хемскерк</v>
      </c>
      <c r="E674" s="3">
        <f>-</f>
      </c>
      <c r="F674" s="3">
        <f>-</f>
      </c>
      <c r="G674" s="3">
        <f>-</f>
      </c>
      <c r="H674" s="3">
        <f>=ROUND((1000/((1000/E674) + (1000/f674))),2)</f>
      </c>
      <c r="I674" s="3">
        <f>=ROUND((1000/((1000/E674) + (1000/G674))),2)</f>
      </c>
      <c r="J674" s="3">
        <f>=ROUND((1000/((1000/F674) + (1000/G674))),2)</f>
      </c>
    </row>
    <row r="675">
      <c r="A675" s="2" t="str">
        <v>01/05 ВС</v>
      </c>
      <c r="B675" s="2" t="str">
        <v>16:00</v>
      </c>
      <c r="C675" s="2" t="str">
        <v>НИДЕРЛАНДЫ НИДЕРЛАНДЫ</v>
      </c>
      <c r="D675" s="2" t="str">
        <v>Донген-УНА</v>
      </c>
      <c r="E675" s="3">
        <f>-</f>
      </c>
      <c r="F675" s="3">
        <f>-</f>
      </c>
      <c r="G675" s="3">
        <f>-</f>
      </c>
      <c r="H675" s="3">
        <f>=ROUND((1000/((1000/E675) + (1000/f675))),2)</f>
      </c>
      <c r="I675" s="3">
        <f>=ROUND((1000/((1000/E675) + (1000/G675))),2)</f>
      </c>
      <c r="J675" s="3">
        <f>=ROUND((1000/((1000/F675) + (1000/G675))),2)</f>
      </c>
    </row>
    <row r="676">
      <c r="A676" s="2" t="str">
        <v>01/05 ВС</v>
      </c>
      <c r="B676" s="2" t="str">
        <v>16:00</v>
      </c>
      <c r="C676" s="2" t="str">
        <v>НИДЕРЛАНДЫ НИДЕРЛАНДЫ</v>
      </c>
      <c r="D676" s="2" t="str">
        <v>Унитас-Вестландия</v>
      </c>
      <c r="E676" s="3">
        <f>-</f>
      </c>
      <c r="F676" s="3">
        <f>-</f>
      </c>
      <c r="G676" s="3">
        <f>-</f>
      </c>
      <c r="H676" s="3">
        <f>=ROUND((1000/((1000/E676) + (1000/f676))),2)</f>
      </c>
      <c r="I676" s="3">
        <f>=ROUND((1000/((1000/E676) + (1000/G676))),2)</f>
      </c>
      <c r="J676" s="3">
        <f>=ROUND((1000/((1000/F676) + (1000/G676))),2)</f>
      </c>
    </row>
    <row r="677">
      <c r="A677" s="2" t="str">
        <v>01/05 ВС</v>
      </c>
      <c r="B677" s="2" t="str">
        <v>16:00</v>
      </c>
      <c r="C677" s="2" t="str">
        <v>НИДЕРЛАНДЫ НИДЕРЛАНДЫ</v>
      </c>
      <c r="D677" s="2" t="str">
        <v>ХВВ Холландиа-УСВ Геркулес</v>
      </c>
      <c r="E677" s="3">
        <f>-</f>
      </c>
      <c r="F677" s="3">
        <f>-</f>
      </c>
      <c r="G677" s="3">
        <f>-</f>
      </c>
      <c r="H677" s="3">
        <f>=ROUND((1000/((1000/E677) + (1000/f677))),2)</f>
      </c>
      <c r="I677" s="3">
        <f>=ROUND((1000/((1000/E677) + (1000/G677))),2)</f>
      </c>
      <c r="J677" s="3">
        <f>=ROUND((1000/((1000/F677) + (1000/G677))),2)</f>
      </c>
    </row>
    <row r="678">
      <c r="A678" s="2" t="str">
        <v>01/05 ВС</v>
      </c>
      <c r="B678" s="2" t="str">
        <v>16:00</v>
      </c>
      <c r="C678" s="2" t="str">
        <v>НИДЕРЛАНДЫ НИДЕРЛАНДЫ</v>
      </c>
      <c r="D678" s="2" t="str">
        <v>Хугланд-Осс</v>
      </c>
      <c r="E678" s="3">
        <f>-</f>
      </c>
      <c r="F678" s="3">
        <f>-</f>
      </c>
      <c r="G678" s="3">
        <f>-</f>
      </c>
      <c r="H678" s="3">
        <f>=ROUND((1000/((1000/E678) + (1000/f678))),2)</f>
      </c>
      <c r="I678" s="3">
        <f>=ROUND((1000/((1000/E678) + (1000/G678))),2)</f>
      </c>
      <c r="J678" s="3">
        <f>=ROUND((1000/((1000/F678) + (1000/G678))),2)</f>
      </c>
    </row>
    <row r="679">
      <c r="A679" s="2" t="str">
        <v>01/05 ВС</v>
      </c>
      <c r="B679" s="2" t="str">
        <v>16:30</v>
      </c>
      <c r="C679" s="2" t="str">
        <v>НИДЕРЛАНДЫ НИДЕРЛАНДЫ</v>
      </c>
      <c r="D679" s="2" t="str">
        <v>ЕВВ-ХСЦ-21</v>
      </c>
      <c r="E679" s="3">
        <f>-</f>
      </c>
      <c r="F679" s="3">
        <f>-</f>
      </c>
      <c r="G679" s="3">
        <f>-</f>
      </c>
      <c r="H679" s="3">
        <f>=ROUND((1000/((1000/E679) + (1000/f679))),2)</f>
      </c>
      <c r="I679" s="3">
        <f>=ROUND((1000/((1000/E679) + (1000/G679))),2)</f>
      </c>
      <c r="J679" s="3">
        <f>=ROUND((1000/((1000/F679) + (1000/G679))),2)</f>
      </c>
    </row>
    <row r="680">
      <c r="A680" s="2" t="str">
        <v>01/05 ВС</v>
      </c>
      <c r="B680" s="2" t="str">
        <v>16:30</v>
      </c>
      <c r="C680" s="2" t="str">
        <v>НИДЕРЛАНДЫ НИДЕРЛАНДЫ</v>
      </c>
      <c r="D680" s="2" t="str">
        <v>Остзан-Ватерграфсмер</v>
      </c>
      <c r="E680" s="3">
        <f>-</f>
      </c>
      <c r="F680" s="3">
        <f>-</f>
      </c>
      <c r="G680" s="3">
        <f>-</f>
      </c>
      <c r="H680" s="3">
        <f>=ROUND((1000/((1000/E680) + (1000/f680))),2)</f>
      </c>
      <c r="I680" s="3">
        <f>=ROUND((1000/((1000/E680) + (1000/G680))),2)</f>
      </c>
      <c r="J680" s="3">
        <f>=ROUND((1000/((1000/F680) + (1000/G680))),2)</f>
      </c>
    </row>
    <row r="681">
      <c r="A681" s="2" t="str">
        <v>01/05 ВС</v>
      </c>
      <c r="B681" s="2" t="str">
        <v>14:15</v>
      </c>
      <c r="C681" s="2" t="str">
        <v>НИДЕРЛАНДЫ НИДЕРЛАНДЫ</v>
      </c>
      <c r="D681" s="2" t="str">
        <v>Фейеноорд (Ж)-Ден Хааг (Ж)</v>
      </c>
      <c r="E681" s="3">
        <f>-</f>
      </c>
      <c r="F681" s="3">
        <f>-</f>
      </c>
      <c r="G681" s="3">
        <f>-</f>
      </c>
      <c r="H681" s="3">
        <f>=ROUND((1000/((1000/E681) + (1000/f681))),2)</f>
      </c>
      <c r="I681" s="3">
        <f>=ROUND((1000/((1000/E681) + (1000/G681))),2)</f>
      </c>
      <c r="J681" s="3">
        <f>=ROUND((1000/((1000/F681) + (1000/G681))),2)</f>
      </c>
    </row>
    <row r="682">
      <c r="A682" s="2" t="str">
        <v>01/05 ВС</v>
      </c>
      <c r="B682" s="2" t="str">
        <v>16:00</v>
      </c>
      <c r="C682" s="2" t="str">
        <v>НОРВЕГИЯ НОРВЕГИЯ</v>
      </c>
      <c r="D682" s="2" t="str">
        <v>Сотра-Флекрой</v>
      </c>
      <c r="E682" s="3">
        <f>-</f>
      </c>
      <c r="F682" s="3">
        <f>-</f>
      </c>
      <c r="G682" s="3">
        <f>-</f>
      </c>
      <c r="H682" s="3">
        <f>=ROUND((1000/((1000/E682) + (1000/f682))),2)</f>
      </c>
      <c r="I682" s="3">
        <f>=ROUND((1000/((1000/E682) + (1000/G682))),2)</f>
      </c>
      <c r="J682" s="3">
        <f>=ROUND((1000/((1000/F682) + (1000/G682))),2)</f>
      </c>
    </row>
    <row r="683">
      <c r="A683" s="2" t="str">
        <v>01/05 ВС</v>
      </c>
      <c r="B683" s="2" t="str">
        <v>16:00</v>
      </c>
      <c r="C683" s="2" t="str">
        <v>НОРВЕГИЯ НОРВЕГИЯ</v>
      </c>
      <c r="D683" s="2" t="str">
        <v>Хальден-Арендаль</v>
      </c>
      <c r="E683" s="3">
        <f>-</f>
      </c>
      <c r="F683" s="3">
        <f>-</f>
      </c>
      <c r="G683" s="3">
        <f>-</f>
      </c>
      <c r="H683" s="3">
        <f>=ROUND((1000/((1000/E683) + (1000/f683))),2)</f>
      </c>
      <c r="I683" s="3">
        <f>=ROUND((1000/((1000/E683) + (1000/G683))),2)</f>
      </c>
      <c r="J683" s="3">
        <f>=ROUND((1000/((1000/F683) + (1000/G683))),2)</f>
      </c>
    </row>
    <row r="684">
      <c r="A684" s="2" t="str">
        <v>01/05 ВС</v>
      </c>
      <c r="B684" s="2" t="str">
        <v>20:00</v>
      </c>
      <c r="C684" s="2" t="str">
        <v>НОРВЕГИЯ НОРВЕГИЯ</v>
      </c>
      <c r="D684" s="2" t="str">
        <v>Нотодден-Мосс</v>
      </c>
      <c r="E684" s="3">
        <f>-</f>
      </c>
      <c r="F684" s="3">
        <f>-</f>
      </c>
      <c r="G684" s="3">
        <f>-</f>
      </c>
      <c r="H684" s="3">
        <f>=ROUND((1000/((1000/E684) + (1000/f684))),2)</f>
      </c>
      <c r="I684" s="3">
        <f>=ROUND((1000/((1000/E684) + (1000/G684))),2)</f>
      </c>
      <c r="J684" s="3">
        <f>=ROUND((1000/((1000/F684) + (1000/G684))),2)</f>
      </c>
    </row>
    <row r="685">
      <c r="A685" s="2" t="str">
        <v>01/05 ВС</v>
      </c>
      <c r="B685" s="2" t="str">
        <v>15:00</v>
      </c>
      <c r="C685" s="2" t="str">
        <v>НОРВЕГИЯ НОРВЕГИЯ</v>
      </c>
      <c r="D685" s="2" t="str">
        <v>Альта-Гьовик-Лин</v>
      </c>
      <c r="E685" s="3">
        <f>-</f>
      </c>
      <c r="F685" s="3">
        <f>-</f>
      </c>
      <c r="G685" s="3">
        <f>-</f>
      </c>
      <c r="H685" s="3">
        <f>=ROUND((1000/((1000/E685) + (1000/f685))),2)</f>
      </c>
      <c r="I685" s="3">
        <f>=ROUND((1000/((1000/E685) + (1000/G685))),2)</f>
      </c>
      <c r="J685" s="3">
        <f>=ROUND((1000/((1000/F685) + (1000/G685))),2)</f>
      </c>
    </row>
    <row r="686">
      <c r="A686" s="2" t="str">
        <v>01/05 ВС</v>
      </c>
      <c r="B686" s="2" t="str">
        <v>15:00</v>
      </c>
      <c r="C686" s="2" t="str">
        <v>НОРВЕГИЯ НОРВЕГИЯ</v>
      </c>
      <c r="D686" s="2" t="str">
        <v>Аскер-Браттваг</v>
      </c>
      <c r="E686" s="3">
        <f>-</f>
      </c>
      <c r="F686" s="3">
        <f>-</f>
      </c>
      <c r="G686" s="3">
        <f>-</f>
      </c>
      <c r="H686" s="3">
        <f>=ROUND((1000/((1000/E686) + (1000/f686))),2)</f>
      </c>
      <c r="I686" s="3">
        <f>=ROUND((1000/((1000/E686) + (1000/G686))),2)</f>
      </c>
      <c r="J686" s="3">
        <f>=ROUND((1000/((1000/F686) + (1000/G686))),2)</f>
      </c>
    </row>
    <row r="687">
      <c r="A687" s="2" t="str">
        <v>01/05 ВС</v>
      </c>
      <c r="B687" s="2" t="str">
        <v>16:00</v>
      </c>
      <c r="C687" s="2" t="str">
        <v>НОРВЕГИЯ НОРВЕГИЯ</v>
      </c>
      <c r="D687" s="2" t="str">
        <v>Эйдсвольд-Трефф</v>
      </c>
      <c r="E687" s="3">
        <f>-</f>
      </c>
      <c r="F687" s="3">
        <f>-</f>
      </c>
      <c r="G687" s="3">
        <f>-</f>
      </c>
      <c r="H687" s="3">
        <f>=ROUND((1000/((1000/E687) + (1000/f687))),2)</f>
      </c>
      <c r="I687" s="3">
        <f>=ROUND((1000/((1000/E687) + (1000/G687))),2)</f>
      </c>
      <c r="J687" s="3">
        <f>=ROUND((1000/((1000/F687) + (1000/G687))),2)</f>
      </c>
    </row>
    <row r="688">
      <c r="A688" s="2" t="str">
        <v>01/05 ВС</v>
      </c>
      <c r="B688" s="2" t="str">
        <v>17:35</v>
      </c>
      <c r="C688" s="2" t="str">
        <v>НОРВЕГИЯ НОРВЕГИЯ</v>
      </c>
      <c r="D688" s="2" t="str">
        <v>Левангер-Тромсдален</v>
      </c>
      <c r="E688" s="3">
        <f>-</f>
      </c>
      <c r="F688" s="3">
        <f>-</f>
      </c>
      <c r="G688" s="3">
        <f>-</f>
      </c>
      <c r="H688" s="3">
        <f>=ROUND((1000/((1000/E688) + (1000/f688))),2)</f>
      </c>
      <c r="I688" s="3">
        <f>=ROUND((1000/((1000/E688) + (1000/G688))),2)</f>
      </c>
      <c r="J688" s="3">
        <f>=ROUND((1000/((1000/F688) + (1000/G688))),2)</f>
      </c>
    </row>
    <row r="689">
      <c r="A689" s="2" t="str">
        <v>01/05 ВС</v>
      </c>
      <c r="B689" s="2" t="str">
        <v>15:00</v>
      </c>
      <c r="C689" s="2" t="str">
        <v>НОРВЕГИЯ НОРВЕГИЯ</v>
      </c>
      <c r="D689" s="2" t="str">
        <v>Люн-Сандвикен</v>
      </c>
      <c r="E689" s="3">
        <f>-</f>
      </c>
      <c r="F689" s="3">
        <f>-</f>
      </c>
      <c r="G689" s="3">
        <f>-</f>
      </c>
      <c r="H689" s="3">
        <f>=ROUND((1000/((1000/E689) + (1000/f689))),2)</f>
      </c>
      <c r="I689" s="3">
        <f>=ROUND((1000/((1000/E689) + (1000/G689))),2)</f>
      </c>
      <c r="J689" s="3">
        <f>=ROUND((1000/((1000/F689) + (1000/G689))),2)</f>
      </c>
    </row>
    <row r="690">
      <c r="A690" s="2" t="str">
        <v>01/05 ВС</v>
      </c>
      <c r="B690" s="2" t="str">
        <v>17:00</v>
      </c>
      <c r="C690" s="2" t="str">
        <v>НОРВЕГИЯ НОРВЕГИЯ</v>
      </c>
      <c r="D690" s="2" t="str">
        <v>Фюллингсдален-Шейд 2</v>
      </c>
      <c r="E690" s="3">
        <f>-</f>
      </c>
      <c r="F690" s="3">
        <f>-</f>
      </c>
      <c r="G690" s="3">
        <f>-</f>
      </c>
      <c r="H690" s="3">
        <f>=ROUND((1000/((1000/E690) + (1000/f690))),2)</f>
      </c>
      <c r="I690" s="3">
        <f>=ROUND((1000/((1000/E690) + (1000/G690))),2)</f>
      </c>
      <c r="J690" s="3">
        <f>=ROUND((1000/((1000/F690) + (1000/G690))),2)</f>
      </c>
    </row>
    <row r="691">
      <c r="A691" s="2" t="str">
        <v>01/05 ВС</v>
      </c>
      <c r="B691" s="2" t="str">
        <v>18:00</v>
      </c>
      <c r="C691" s="2" t="str">
        <v>НОРВЕГИЯ НОРВЕГИЯ</v>
      </c>
      <c r="D691" s="2" t="str">
        <v>Кьелсос 2-Реди</v>
      </c>
      <c r="E691" s="3">
        <f>-</f>
      </c>
      <c r="F691" s="3">
        <f>-</f>
      </c>
      <c r="G691" s="3">
        <f>-</f>
      </c>
      <c r="H691" s="3">
        <f>=ROUND((1000/((1000/E691) + (1000/f691))),2)</f>
      </c>
      <c r="I691" s="3">
        <f>=ROUND((1000/((1000/E691) + (1000/G691))),2)</f>
      </c>
      <c r="J691" s="3">
        <f>=ROUND((1000/((1000/F691) + (1000/G691))),2)</f>
      </c>
    </row>
    <row r="692">
      <c r="A692" s="2" t="str">
        <v>01/05 ВС</v>
      </c>
      <c r="B692" s="2" t="str">
        <v>15:00</v>
      </c>
      <c r="C692" s="2" t="str">
        <v>НОРВЕГИЯ НОРВЕГИЯ</v>
      </c>
      <c r="D692" s="2" t="str">
        <v>Хедд 2-Хёнефосс</v>
      </c>
      <c r="E692" s="3">
        <f>-</f>
      </c>
      <c r="F692" s="3">
        <f>-</f>
      </c>
      <c r="G692" s="3">
        <f>-</f>
      </c>
      <c r="H692" s="3">
        <f>=ROUND((1000/((1000/E692) + (1000/f692))),2)</f>
      </c>
      <c r="I692" s="3">
        <f>=ROUND((1000/((1000/E692) + (1000/G692))),2)</f>
      </c>
      <c r="J692" s="3">
        <f>=ROUND((1000/((1000/F692) + (1000/G692))),2)</f>
      </c>
    </row>
    <row r="693">
      <c r="A693" s="2" t="str">
        <v>01/05 ВС</v>
      </c>
      <c r="B693" s="2" t="str">
        <v>18:00</v>
      </c>
      <c r="C693" s="2" t="str">
        <v>НОРВЕГИЯ НОРВЕГИЯ</v>
      </c>
      <c r="D693" s="2" t="str">
        <v>Хёугесунн 2-Люсеклостер</v>
      </c>
      <c r="E693" s="3">
        <f>-</f>
      </c>
      <c r="F693" s="3">
        <f>-</f>
      </c>
      <c r="G693" s="3">
        <f>-</f>
      </c>
      <c r="H693" s="3">
        <f>=ROUND((1000/((1000/E693) + (1000/f693))),2)</f>
      </c>
      <c r="I693" s="3">
        <f>=ROUND((1000/((1000/E693) + (1000/G693))),2)</f>
      </c>
      <c r="J693" s="3">
        <f>=ROUND((1000/((1000/F693) + (1000/G693))),2)</f>
      </c>
    </row>
    <row r="694">
      <c r="A694" s="2" t="str">
        <v>01/05 ВС</v>
      </c>
      <c r="B694" s="2" t="str">
        <v>18:00</v>
      </c>
      <c r="C694" s="2" t="str">
        <v>НОРВЕГИЯ НОРВЕГИЯ</v>
      </c>
      <c r="D694" s="2" t="str">
        <v>Джелой-П. Гренленд</v>
      </c>
      <c r="E694" s="3">
        <f>-</f>
      </c>
      <c r="F694" s="3">
        <f>-</f>
      </c>
      <c r="G694" s="3">
        <f>-</f>
      </c>
      <c r="H694" s="3">
        <f>=ROUND((1000/((1000/E694) + (1000/f694))),2)</f>
      </c>
      <c r="I694" s="3">
        <f>=ROUND((1000/((1000/E694) + (1000/G694))),2)</f>
      </c>
      <c r="J694" s="3">
        <f>=ROUND((1000/((1000/F694) + (1000/G694))),2)</f>
      </c>
    </row>
    <row r="695">
      <c r="A695" s="2" t="str">
        <v>01/05 ВС</v>
      </c>
      <c r="B695" s="2" t="str">
        <v>17:30</v>
      </c>
      <c r="C695" s="2" t="str">
        <v>НОРВЕГИЯ НОРВЕГИЯ</v>
      </c>
      <c r="D695" s="2" t="str">
        <v>Трюгг/Ладе-Будё/Глимт 2</v>
      </c>
      <c r="E695" s="3">
        <f>-</f>
      </c>
      <c r="F695" s="3">
        <f>-</f>
      </c>
      <c r="G695" s="3">
        <f>-</f>
      </c>
      <c r="H695" s="3">
        <f>=ROUND((1000/((1000/E695) + (1000/f695))),2)</f>
      </c>
      <c r="I695" s="3">
        <f>=ROUND((1000/((1000/E695) + (1000/G695))),2)</f>
      </c>
      <c r="J695" s="3">
        <f>=ROUND((1000/((1000/F695) + (1000/G695))),2)</f>
      </c>
    </row>
    <row r="696">
      <c r="A696" s="2" t="str">
        <v>01/05 ВС</v>
      </c>
      <c r="B696" s="2" t="str">
        <v>19:00</v>
      </c>
      <c r="C696" s="2" t="str">
        <v>НОРВЕГИЯ НОРВЕГИЯ</v>
      </c>
      <c r="D696" s="2" t="str">
        <v>Иннстранденс-Кольстад</v>
      </c>
      <c r="E696" s="3">
        <f>-</f>
      </c>
      <c r="F696" s="3">
        <f>-</f>
      </c>
      <c r="G696" s="3">
        <f>-</f>
      </c>
      <c r="H696" s="3">
        <f>=ROUND((1000/((1000/E696) + (1000/f696))),2)</f>
      </c>
      <c r="I696" s="3">
        <f>=ROUND((1000/((1000/E696) + (1000/G696))),2)</f>
      </c>
      <c r="J696" s="3">
        <f>=ROUND((1000/((1000/F696) + (1000/G696))),2)</f>
      </c>
    </row>
    <row r="697">
      <c r="A697" s="2" t="str">
        <v>01/05 ВС</v>
      </c>
      <c r="B697" s="2" t="str">
        <v>19:00</v>
      </c>
      <c r="C697" s="2" t="str">
        <v>НОРВЕГИЯ НОРВЕГИЯ</v>
      </c>
      <c r="D697" s="2" t="str">
        <v>Оркла-Юнкерен</v>
      </c>
      <c r="E697" s="3">
        <f>-</f>
      </c>
      <c r="F697" s="3">
        <f>-</f>
      </c>
      <c r="G697" s="3">
        <f>-</f>
      </c>
      <c r="H697" s="3">
        <f>=ROUND((1000/((1000/E697) + (1000/f697))),2)</f>
      </c>
      <c r="I697" s="3">
        <f>=ROUND((1000/((1000/E697) + (1000/G697))),2)</f>
      </c>
      <c r="J697" s="3">
        <f>=ROUND((1000/((1000/F697) + (1000/G697))),2)</f>
      </c>
    </row>
    <row r="698">
      <c r="A698" s="2" t="str">
        <v>01/05 ВС</v>
      </c>
      <c r="B698" s="2" t="str">
        <v>19:00</v>
      </c>
      <c r="C698" s="2" t="str">
        <v>НОРВЕГИЯ НОРВЕГИЯ</v>
      </c>
      <c r="D698" s="2" t="str">
        <v>Русенборг 2-Рана</v>
      </c>
      <c r="E698" s="3">
        <f>-</f>
      </c>
      <c r="F698" s="3">
        <f>-</f>
      </c>
      <c r="G698" s="3">
        <f>-</f>
      </c>
      <c r="H698" s="3">
        <f>=ROUND((1000/((1000/E698) + (1000/f698))),2)</f>
      </c>
      <c r="I698" s="3">
        <f>=ROUND((1000/((1000/E698) + (1000/G698))),2)</f>
      </c>
      <c r="J698" s="3">
        <f>=ROUND((1000/((1000/F698) + (1000/G698))),2)</f>
      </c>
    </row>
    <row r="699">
      <c r="A699" s="2" t="str">
        <v>01/05 ВС</v>
      </c>
      <c r="B699" s="2" t="str">
        <v>18:00</v>
      </c>
      <c r="C699" s="2" t="str">
        <v>НОРВЕГИЯ НОРВЕГИЯ</v>
      </c>
      <c r="D699" s="2" t="str">
        <v>Скьеттен-Харстад</v>
      </c>
      <c r="E699" s="3">
        <f>-</f>
      </c>
      <c r="F699" s="3">
        <f>-</f>
      </c>
      <c r="G699" s="3">
        <f>-</f>
      </c>
      <c r="H699" s="3">
        <f>=ROUND((1000/((1000/E699) + (1000/f699))),2)</f>
      </c>
      <c r="I699" s="3">
        <f>=ROUND((1000/((1000/E699) + (1000/G699))),2)</f>
      </c>
      <c r="J699" s="3">
        <f>=ROUND((1000/((1000/F699) + (1000/G699))),2)</f>
      </c>
    </row>
    <row r="700">
      <c r="A700" s="2" t="str">
        <v>01/05 ВС</v>
      </c>
      <c r="B700" s="2" t="str">
        <v>18:15</v>
      </c>
      <c r="C700" s="2" t="str">
        <v>НОРВЕГИЯ НОРВЕГИЯ</v>
      </c>
      <c r="D700" s="2" t="str">
        <v>Молнер-Стрёмсгодсет 2</v>
      </c>
      <c r="E700" s="3">
        <f>-</f>
      </c>
      <c r="F700" s="3">
        <f>-</f>
      </c>
      <c r="G700" s="3">
        <f>-</f>
      </c>
      <c r="H700" s="3">
        <f>=ROUND((1000/((1000/E700) + (1000/f700))),2)</f>
      </c>
      <c r="I700" s="3">
        <f>=ROUND((1000/((1000/E700) + (1000/G700))),2)</f>
      </c>
      <c r="J700" s="3">
        <f>=ROUND((1000/((1000/F700) + (1000/G700))),2)</f>
      </c>
    </row>
    <row r="701">
      <c r="A701" s="2" t="str">
        <v>01/05 ВС</v>
      </c>
      <c r="B701" s="2" t="str">
        <v>19:00</v>
      </c>
      <c r="C701" s="2" t="str">
        <v>НОРВЕГИЯ НОРВЕГИЯ</v>
      </c>
      <c r="D701" s="2" t="str">
        <v>Флоя-Боссекоп</v>
      </c>
      <c r="E701" s="3">
        <f>-</f>
      </c>
      <c r="F701" s="3">
        <f>-</f>
      </c>
      <c r="G701" s="3">
        <f>-</f>
      </c>
      <c r="H701" s="3">
        <f>=ROUND((1000/((1000/E701) + (1000/f701))),2)</f>
      </c>
      <c r="I701" s="3">
        <f>=ROUND((1000/((1000/E701) + (1000/G701))),2)</f>
      </c>
      <c r="J701" s="3">
        <f>=ROUND((1000/((1000/F701) + (1000/G701))),2)</f>
      </c>
    </row>
    <row r="702">
      <c r="A702" s="2" t="str">
        <v>01/05 ВС</v>
      </c>
      <c r="B702" s="2" t="str">
        <v>18:00</v>
      </c>
      <c r="C702" s="2" t="str">
        <v>НОРВЕГИЯ НОРВЕГИЯ</v>
      </c>
      <c r="D702" s="2" t="str">
        <v>Мольде-Будё/Глимт</v>
      </c>
      <c r="E702" s="3">
        <f>3.60</f>
      </c>
      <c r="F702" s="3">
        <f>3.50</f>
      </c>
      <c r="G702" s="3">
        <f>2.05</f>
      </c>
      <c r="H702" s="3">
        <f>=ROUND((1000/((1000/E702) + (1000/f702))),2)</f>
      </c>
      <c r="I702" s="3">
        <f>=ROUND((1000/((1000/E702) + (1000/G702))),2)</f>
      </c>
      <c r="J702" s="3">
        <f>=ROUND((1000/((1000/F702) + (1000/G702))),2)</f>
      </c>
    </row>
    <row r="703">
      <c r="A703" s="2" t="str">
        <v>01/05 ВС</v>
      </c>
      <c r="B703" s="2" t="str">
        <v>16:00</v>
      </c>
      <c r="C703" s="2" t="str">
        <v>НОРВЕГИЯ НОРВЕГИЯ</v>
      </c>
      <c r="D703" s="2" t="str">
        <v>Арна-Бьёрнар (Ж)-Стреммен (Ж)</v>
      </c>
      <c r="E703" s="3">
        <f>-</f>
      </c>
      <c r="F703" s="3">
        <f>-</f>
      </c>
      <c r="G703" s="3">
        <f>-</f>
      </c>
      <c r="H703" s="3">
        <f>=ROUND((1000/((1000/E703) + (1000/f703))),2)</f>
      </c>
      <c r="I703" s="3">
        <f>=ROUND((1000/((1000/E703) + (1000/G703))),2)</f>
      </c>
      <c r="J703" s="3">
        <f>=ROUND((1000/((1000/F703) + (1000/G703))),2)</f>
      </c>
    </row>
    <row r="704">
      <c r="A704" s="2" t="str">
        <v>01/05 ВС</v>
      </c>
      <c r="B704" s="2" t="str">
        <v>16:00</v>
      </c>
      <c r="C704" s="2" t="str">
        <v>НОРВЕГИЯ НОРВЕГИЯ</v>
      </c>
      <c r="D704" s="2" t="str">
        <v>Волеренга (Ж)-Авальдснес (Ж)</v>
      </c>
      <c r="E704" s="3">
        <f>-</f>
      </c>
      <c r="F704" s="3">
        <f>-</f>
      </c>
      <c r="G704" s="3">
        <f>-</f>
      </c>
      <c r="H704" s="3">
        <f>=ROUND((1000/((1000/E704) + (1000/f704))),2)</f>
      </c>
      <c r="I704" s="3">
        <f>=ROUND((1000/((1000/E704) + (1000/G704))),2)</f>
      </c>
      <c r="J704" s="3">
        <f>=ROUND((1000/((1000/F704) + (1000/G704))),2)</f>
      </c>
    </row>
    <row r="705">
      <c r="A705" s="2" t="str">
        <v>01/05 ВС</v>
      </c>
      <c r="B705" s="2" t="str">
        <v>16:00</v>
      </c>
      <c r="C705" s="2" t="str">
        <v>НОРВЕГИЯ НОРВЕГИЯ</v>
      </c>
      <c r="D705" s="2" t="str">
        <v>РУсенбург (Ж)-Люн (Ж)</v>
      </c>
      <c r="E705" s="3">
        <f>-</f>
      </c>
      <c r="F705" s="3">
        <f>-</f>
      </c>
      <c r="G705" s="3">
        <f>-</f>
      </c>
      <c r="H705" s="3">
        <f>=ROUND((1000/((1000/E705) + (1000/f705))),2)</f>
      </c>
      <c r="I705" s="3">
        <f>=ROUND((1000/((1000/E705) + (1000/G705))),2)</f>
      </c>
      <c r="J705" s="3">
        <f>=ROUND((1000/((1000/F705) + (1000/G705))),2)</f>
      </c>
    </row>
    <row r="706">
      <c r="A706" s="2" t="str">
        <v>01/05 ВС</v>
      </c>
      <c r="B706" s="2" t="str">
        <v>16:30</v>
      </c>
      <c r="C706" s="2" t="str">
        <v>НОРВЕГИЯ НОРВЕГИЯ</v>
      </c>
      <c r="D706" s="2" t="str">
        <v>Бранн (Ж)-Колботн (Ж)</v>
      </c>
      <c r="E706" s="3">
        <f>-</f>
      </c>
      <c r="F706" s="3">
        <f>-</f>
      </c>
      <c r="G706" s="3">
        <f>-</f>
      </c>
      <c r="H706" s="3">
        <f>=ROUND((1000/((1000/E706) + (1000/f706))),2)</f>
      </c>
      <c r="I706" s="3">
        <f>=ROUND((1000/((1000/E706) + (1000/G706))),2)</f>
      </c>
      <c r="J706" s="3">
        <f>=ROUND((1000/((1000/F706) + (1000/G706))),2)</f>
      </c>
    </row>
    <row r="707">
      <c r="A707" s="2" t="str">
        <v>01/05 ВС</v>
      </c>
      <c r="B707" s="2" t="str">
        <v>01:00</v>
      </c>
      <c r="C707" s="2" t="str">
        <v>ПАНАМА ПАНАМА</v>
      </c>
      <c r="D707" s="2" t="str">
        <v>Арабе Юнидо-Пласа Амадор</v>
      </c>
      <c r="E707" s="3">
        <f>-</f>
      </c>
      <c r="F707" s="3">
        <f>-</f>
      </c>
      <c r="G707" s="3">
        <f>-</f>
      </c>
      <c r="H707" s="3">
        <f>=ROUND((1000/((1000/E707) + (1000/f707))),2)</f>
      </c>
      <c r="I707" s="3">
        <f>=ROUND((1000/((1000/E707) + (1000/G707))),2)</f>
      </c>
      <c r="J707" s="3">
        <f>=ROUND((1000/((1000/F707) + (1000/G707))),2)</f>
      </c>
    </row>
    <row r="708">
      <c r="A708" s="2" t="str">
        <v>01/05 ВС</v>
      </c>
      <c r="B708" s="2" t="str">
        <v>01:00</v>
      </c>
      <c r="C708" s="2" t="str">
        <v>ПАНАМА ПАНАМА</v>
      </c>
      <c r="D708" s="2" t="str">
        <v>Депортиво Университарио-Сан-Франциско</v>
      </c>
      <c r="E708" s="3">
        <f>-</f>
      </c>
      <c r="F708" s="3">
        <f>-</f>
      </c>
      <c r="G708" s="3">
        <f>-</f>
      </c>
      <c r="H708" s="3">
        <f>=ROUND((1000/((1000/E708) + (1000/f708))),2)</f>
      </c>
      <c r="I708" s="3">
        <f>=ROUND((1000/((1000/E708) + (1000/G708))),2)</f>
      </c>
      <c r="J708" s="3">
        <f>=ROUND((1000/((1000/F708) + (1000/G708))),2)</f>
      </c>
    </row>
    <row r="709">
      <c r="A709" s="2" t="str">
        <v>01/05 ВС</v>
      </c>
      <c r="B709" s="2" t="str">
        <v>03:05</v>
      </c>
      <c r="C709" s="2" t="str">
        <v>ПАНАМА ПАНАМА</v>
      </c>
      <c r="D709" s="2" t="str">
        <v>Тауро-Коста-дель-Эсте</v>
      </c>
      <c r="E709" s="3">
        <f>-</f>
      </c>
      <c r="F709" s="3">
        <f>-</f>
      </c>
      <c r="G709" s="3">
        <f>-</f>
      </c>
      <c r="H709" s="3">
        <f>=ROUND((1000/((1000/E709) + (1000/f709))),2)</f>
      </c>
      <c r="I709" s="3">
        <f>=ROUND((1000/((1000/E709) + (1000/G709))),2)</f>
      </c>
      <c r="J709" s="3">
        <f>=ROUND((1000/((1000/F709) + (1000/G709))),2)</f>
      </c>
    </row>
    <row r="710">
      <c r="A710" s="2" t="str">
        <v>01/05 ВС</v>
      </c>
      <c r="B710" s="2" t="str">
        <v>05:10</v>
      </c>
      <c r="C710" s="2" t="str">
        <v>ПАНАМА ПАНАМА</v>
      </c>
      <c r="D710" s="2" t="str">
        <v>Индепендьенте-Верагуас</v>
      </c>
      <c r="E710" s="3">
        <f>-</f>
      </c>
      <c r="F710" s="3">
        <f>-</f>
      </c>
      <c r="G710" s="3">
        <f>-</f>
      </c>
      <c r="H710" s="3">
        <f>=ROUND((1000/((1000/E710) + (1000/f710))),2)</f>
      </c>
      <c r="I710" s="3">
        <f>=ROUND((1000/((1000/E710) + (1000/G710))),2)</f>
      </c>
      <c r="J710" s="3">
        <f>=ROUND((1000/((1000/F710) + (1000/G710))),2)</f>
      </c>
    </row>
    <row r="711">
      <c r="A711" s="2" t="str">
        <v>01/05 ВС</v>
      </c>
      <c r="B711" s="2" t="str">
        <v>01:30</v>
      </c>
      <c r="C711" s="2" t="str">
        <v>ПАРАГВАЙ ПАРАГВАЙ</v>
      </c>
      <c r="D711" s="2" t="str">
        <v>Хенераль Кабальеро-Либертад</v>
      </c>
      <c r="E711" s="3">
        <f>5.00</f>
      </c>
      <c r="F711" s="3">
        <f>3.60</f>
      </c>
      <c r="G711" s="3">
        <f>1.60</f>
      </c>
      <c r="H711" s="3">
        <f>=ROUND((1000/((1000/E711) + (1000/f711))),2)</f>
      </c>
      <c r="I711" s="3">
        <f>=ROUND((1000/((1000/E711) + (1000/G711))),2)</f>
      </c>
      <c r="J711" s="3">
        <f>=ROUND((1000/((1000/F711) + (1000/G711))),2)</f>
      </c>
    </row>
    <row r="712">
      <c r="A712" s="2" t="str">
        <v>01/05 ВС</v>
      </c>
      <c r="B712" s="2" t="str">
        <v>03:45</v>
      </c>
      <c r="C712" s="2" t="str">
        <v>ПАРАГВАЙ ПАРАГВАЙ</v>
      </c>
      <c r="D712" s="2" t="str">
        <v>Серро Портеньо-Насьональ Асунсьон</v>
      </c>
      <c r="E712" s="3">
        <f>1.65</f>
      </c>
      <c r="F712" s="3">
        <f>3.60</f>
      </c>
      <c r="G712" s="3">
        <f>4.75</f>
      </c>
      <c r="H712" s="3">
        <f>=ROUND((1000/((1000/E712) + (1000/f712))),2)</f>
      </c>
      <c r="I712" s="3">
        <f>=ROUND((1000/((1000/E712) + (1000/G712))),2)</f>
      </c>
      <c r="J712" s="3">
        <f>=ROUND((1000/((1000/F712) + (1000/G712))),2)</f>
      </c>
    </row>
    <row r="713">
      <c r="A713" s="2" t="str">
        <v>01/05 ВС</v>
      </c>
      <c r="B713" s="2" t="str">
        <v>18:00</v>
      </c>
      <c r="C713" s="2" t="str">
        <v>ПАРАГВАЙ ПАРАГВАЙ</v>
      </c>
      <c r="D713" s="2" t="str">
        <v>Атира-Депортиво Сантани</v>
      </c>
      <c r="E713" s="3">
        <f>-</f>
      </c>
      <c r="F713" s="3">
        <f>-</f>
      </c>
      <c r="G713" s="3">
        <f>-</f>
      </c>
      <c r="H713" s="3">
        <f>=ROUND((1000/((1000/E713) + (1000/f713))),2)</f>
      </c>
      <c r="I713" s="3">
        <f>=ROUND((1000/((1000/E713) + (1000/G713))),2)</f>
      </c>
      <c r="J713" s="3">
        <f>=ROUND((1000/((1000/F713) + (1000/G713))),2)</f>
      </c>
    </row>
    <row r="714">
      <c r="A714" s="2" t="str">
        <v>01/05 ВС</v>
      </c>
      <c r="B714" s="2" t="str">
        <v>18:00</v>
      </c>
      <c r="C714" s="2" t="str">
        <v>ПАРАГВАЙ ПАРАГВАЙ</v>
      </c>
      <c r="D714" s="2" t="str">
        <v>Мартин Ледесма-Спортиво Итено</v>
      </c>
      <c r="E714" s="3">
        <f>-</f>
      </c>
      <c r="F714" s="3">
        <f>-</f>
      </c>
      <c r="G714" s="3">
        <f>-</f>
      </c>
      <c r="H714" s="3">
        <f>=ROUND((1000/((1000/E714) + (1000/f714))),2)</f>
      </c>
      <c r="I714" s="3">
        <f>=ROUND((1000/((1000/E714) + (1000/G714))),2)</f>
      </c>
      <c r="J714" s="3">
        <f>=ROUND((1000/((1000/F714) + (1000/G714))),2)</f>
      </c>
    </row>
    <row r="715">
      <c r="A715" s="2" t="str">
        <v>01/05 ВС</v>
      </c>
      <c r="B715" s="2" t="str">
        <v>00:30</v>
      </c>
      <c r="C715" s="2" t="str">
        <v>ПЕРУ ПЕРУ</v>
      </c>
      <c r="D715" s="2" t="str">
        <v>Мельгар-Сьенсиано</v>
      </c>
      <c r="E715" s="3">
        <f>2.10</f>
      </c>
      <c r="F715" s="3">
        <f>3.30</f>
      </c>
      <c r="G715" s="3">
        <f>3.60</f>
      </c>
      <c r="H715" s="3">
        <f>=ROUND((1000/((1000/E715) + (1000/f715))),2)</f>
      </c>
      <c r="I715" s="3">
        <f>=ROUND((1000/((1000/E715) + (1000/G715))),2)</f>
      </c>
      <c r="J715" s="3">
        <f>=ROUND((1000/((1000/F715) + (1000/G715))),2)</f>
      </c>
    </row>
    <row r="716">
      <c r="A716" s="2" t="str">
        <v>01/05 ВС</v>
      </c>
      <c r="B716" s="2" t="str">
        <v>20:00</v>
      </c>
      <c r="C716" s="2" t="str">
        <v>ПЕРУ ПЕРУ</v>
      </c>
      <c r="D716" s="2" t="str">
        <v>Альянса Атлетико-Аякучо</v>
      </c>
      <c r="E716" s="3">
        <f>1.95</f>
      </c>
      <c r="F716" s="3">
        <f>3.50</f>
      </c>
      <c r="G716" s="3">
        <f>4.00</f>
      </c>
      <c r="H716" s="3">
        <f>=ROUND((1000/((1000/E716) + (1000/f716))),2)</f>
      </c>
      <c r="I716" s="3">
        <f>=ROUND((1000/((1000/E716) + (1000/G716))),2)</f>
      </c>
      <c r="J716" s="3">
        <f>=ROUND((1000/((1000/F716) + (1000/G716))),2)</f>
      </c>
    </row>
    <row r="717">
      <c r="A717" s="2" t="str">
        <v>01/05 ВС</v>
      </c>
      <c r="B717" s="2" t="str">
        <v>22:00</v>
      </c>
      <c r="C717" s="2" t="str">
        <v>ПЕРУ ПЕРУ</v>
      </c>
      <c r="D717" s="2" t="str">
        <v>Грау-Университарио</v>
      </c>
      <c r="E717" s="3">
        <f>3.40</f>
      </c>
      <c r="F717" s="3">
        <f>3.40</f>
      </c>
      <c r="G717" s="3">
        <f>2.15</f>
      </c>
      <c r="H717" s="3">
        <f>=ROUND((1000/((1000/E717) + (1000/f717))),2)</f>
      </c>
      <c r="I717" s="3">
        <f>=ROUND((1000/((1000/E717) + (1000/G717))),2)</f>
      </c>
      <c r="J717" s="3">
        <f>=ROUND((1000/((1000/F717) + (1000/G717))),2)</f>
      </c>
    </row>
    <row r="718">
      <c r="A718" s="2" t="str">
        <v>01/05 ВС</v>
      </c>
      <c r="B718" s="2" t="str">
        <v>22:15</v>
      </c>
      <c r="C718" s="2" t="str">
        <v>ПЕРУ ПЕРУ</v>
      </c>
      <c r="D718" s="2" t="str">
        <v>Карлос Маннуччи-ADT Tarma</v>
      </c>
      <c r="E718" s="3">
        <f>2.10</f>
      </c>
      <c r="F718" s="3">
        <f>3.25</f>
      </c>
      <c r="G718" s="3">
        <f>3.60</f>
      </c>
      <c r="H718" s="3">
        <f>=ROUND((1000/((1000/E718) + (1000/f718))),2)</f>
      </c>
      <c r="I718" s="3">
        <f>=ROUND((1000/((1000/E718) + (1000/G718))),2)</f>
      </c>
      <c r="J718" s="3">
        <f>=ROUND((1000/((1000/F718) + (1000/G718))),2)</f>
      </c>
    </row>
    <row r="719">
      <c r="A719" s="2" t="str">
        <v>01/05 ВС</v>
      </c>
      <c r="B719" s="2" t="str">
        <v>00:00</v>
      </c>
      <c r="C719" s="2" t="str">
        <v>ПЕРУ ПЕРУ</v>
      </c>
      <c r="D719" s="2" t="str">
        <v>Куско-Пирата</v>
      </c>
      <c r="E719" s="3">
        <f>-</f>
      </c>
      <c r="F719" s="3">
        <f>-</f>
      </c>
      <c r="G719" s="3">
        <f>-</f>
      </c>
      <c r="H719" s="3">
        <f>=ROUND((1000/((1000/E719) + (1000/f719))),2)</f>
      </c>
      <c r="I719" s="3">
        <f>=ROUND((1000/((1000/E719) + (1000/G719))),2)</f>
      </c>
      <c r="J719" s="3">
        <f>=ROUND((1000/((1000/F719) + (1000/G719))),2)</f>
      </c>
    </row>
    <row r="720">
      <c r="A720" s="2" t="str">
        <v>01/05 ВС</v>
      </c>
      <c r="B720" s="2" t="str">
        <v>22:00</v>
      </c>
      <c r="C720" s="2" t="str">
        <v>ПЕРУ ПЕРУ</v>
      </c>
      <c r="D720" s="2" t="str">
        <v>Унион Комерсио-Льякуабамба</v>
      </c>
      <c r="E720" s="3">
        <f>-</f>
      </c>
      <c r="F720" s="3">
        <f>-</f>
      </c>
      <c r="G720" s="3">
        <f>-</f>
      </c>
      <c r="H720" s="3">
        <f>=ROUND((1000/((1000/E720) + (1000/f720))),2)</f>
      </c>
      <c r="I720" s="3">
        <f>=ROUND((1000/((1000/E720) + (1000/G720))),2)</f>
      </c>
      <c r="J720" s="3">
        <f>=ROUND((1000/((1000/F720) + (1000/G720))),2)</f>
      </c>
    </row>
    <row r="721" xml:space="preserve">
      <c r="A721" s="2" t="str">
        <v>01/05 ВС</v>
      </c>
      <c r="B721" s="2" t="str" xml:space="preserve">
        <v xml:space="preserve">00:30_x000d_
TKP</v>
      </c>
      <c r="C721" s="2" t="str">
        <v>ПЕРУ ПЕРУ</v>
      </c>
      <c r="D721" s="2" t="str">
        <v>Спорт Бойз (Ж)-Карлос Маннуччи (Ж)</v>
      </c>
      <c r="E721" s="3">
        <f>-</f>
      </c>
      <c r="F721" s="3">
        <f>-</f>
      </c>
      <c r="G721" s="3">
        <f>-</f>
      </c>
      <c r="H721" s="3">
        <f>=ROUND((1000/((1000/E721) + (1000/f721))),2)</f>
      </c>
      <c r="I721" s="3">
        <f>=ROUND((1000/((1000/E721) + (1000/G721))),2)</f>
      </c>
      <c r="J721" s="3">
        <f>=ROUND((1000/((1000/F721) + (1000/G721))),2)</f>
      </c>
    </row>
    <row r="722" xml:space="preserve">
      <c r="A722" s="2" t="str">
        <v>01/05 ВС</v>
      </c>
      <c r="B722" s="2" t="str" xml:space="preserve">
        <v xml:space="preserve">21:30_x000d_
TKP</v>
      </c>
      <c r="C722" s="2" t="str">
        <v>ПЕРУ ПЕРУ</v>
      </c>
      <c r="D722" s="2" t="str">
        <v>Killas (Ж)-Кантолао (Ж)</v>
      </c>
      <c r="E722" s="3">
        <f>-</f>
      </c>
      <c r="F722" s="3">
        <f>-</f>
      </c>
      <c r="G722" s="3">
        <f>-</f>
      </c>
      <c r="H722" s="3">
        <f>=ROUND((1000/((1000/E722) + (1000/f722))),2)</f>
      </c>
      <c r="I722" s="3">
        <f>=ROUND((1000/((1000/E722) + (1000/G722))),2)</f>
      </c>
      <c r="J722" s="3">
        <f>=ROUND((1000/((1000/F722) + (1000/G722))),2)</f>
      </c>
    </row>
    <row r="723" xml:space="preserve">
      <c r="A723" s="2" t="str">
        <v>01/05 ВС</v>
      </c>
      <c r="B723" s="2" t="str" xml:space="preserve">
        <v xml:space="preserve">22:00_x000d_
TKP</v>
      </c>
      <c r="C723" s="2" t="str">
        <v>ПЕРУ ПЕРУ</v>
      </c>
      <c r="D723" s="2" t="str">
        <v>Аякучо (Ж)-Сесар Вальехо (Ж)</v>
      </c>
      <c r="E723" s="3">
        <f>-</f>
      </c>
      <c r="F723" s="3">
        <f>-</f>
      </c>
      <c r="G723" s="3">
        <f>-</f>
      </c>
      <c r="H723" s="3">
        <f>=ROUND((1000/((1000/E723) + (1000/f723))),2)</f>
      </c>
      <c r="I723" s="3">
        <f>=ROUND((1000/((1000/E723) + (1000/G723))),2)</f>
      </c>
      <c r="J723" s="3">
        <f>=ROUND((1000/((1000/F723) + (1000/G723))),2)</f>
      </c>
    </row>
    <row r="724">
      <c r="A724" s="2" t="str">
        <v>01/05 ВС</v>
      </c>
      <c r="B724" s="2" t="str">
        <v>17:00</v>
      </c>
      <c r="C724" s="2" t="str">
        <v>ПОЛЬША ПОЛЬША</v>
      </c>
      <c r="D724" s="2" t="str">
        <v>Термалика-Плоцк</v>
      </c>
      <c r="E724" s="3">
        <f>2.37</f>
      </c>
      <c r="F724" s="3">
        <f>3.10</f>
      </c>
      <c r="G724" s="3">
        <f>3.10</f>
      </c>
      <c r="H724" s="3">
        <f>=ROUND((1000/((1000/E724) + (1000/f724))),2)</f>
      </c>
      <c r="I724" s="3">
        <f>=ROUND((1000/((1000/E724) + (1000/G724))),2)</f>
      </c>
      <c r="J724" s="3">
        <f>=ROUND((1000/((1000/F724) + (1000/G724))),2)</f>
      </c>
    </row>
    <row r="725">
      <c r="A725" s="2" t="str">
        <v>01/05 ВС</v>
      </c>
      <c r="B725" s="2" t="str">
        <v>19:30</v>
      </c>
      <c r="C725" s="2" t="str">
        <v>ПОЛЬША ПОЛЬША</v>
      </c>
      <c r="D725" s="2" t="str">
        <v>Краковия-Висла</v>
      </c>
      <c r="E725" s="3">
        <f>2.05</f>
      </c>
      <c r="F725" s="3">
        <f>3.20</f>
      </c>
      <c r="G725" s="3">
        <f>3.60</f>
      </c>
      <c r="H725" s="3">
        <f>=ROUND((1000/((1000/E725) + (1000/f725))),2)</f>
      </c>
      <c r="I725" s="3">
        <f>=ROUND((1000/((1000/E725) + (1000/G725))),2)</f>
      </c>
      <c r="J725" s="3">
        <f>=ROUND((1000/((1000/F725) + (1000/G725))),2)</f>
      </c>
    </row>
    <row r="726">
      <c r="A726" s="2" t="str">
        <v>01/05 ВС</v>
      </c>
      <c r="B726" s="2" t="str">
        <v>14:40</v>
      </c>
      <c r="C726" s="2" t="str">
        <v>ПОЛЬША ПОЛЬША</v>
      </c>
      <c r="D726" s="2" t="str">
        <v>Подбескидзе-Заглембе Сосновец</v>
      </c>
      <c r="E726" s="3">
        <f>1.61</f>
      </c>
      <c r="F726" s="3">
        <f>3.50</f>
      </c>
      <c r="G726" s="3">
        <f>5.00</f>
      </c>
      <c r="H726" s="3">
        <f>=ROUND((1000/((1000/E726) + (1000/f726))),2)</f>
      </c>
      <c r="I726" s="3">
        <f>=ROUND((1000/((1000/E726) + (1000/G726))),2)</f>
      </c>
      <c r="J726" s="3">
        <f>=ROUND((1000/((1000/F726) + (1000/G726))),2)</f>
      </c>
    </row>
    <row r="727">
      <c r="A727" s="2" t="str">
        <v>01/05 ВС</v>
      </c>
      <c r="B727" s="2" t="str">
        <v>17:00</v>
      </c>
      <c r="C727" s="2" t="str">
        <v>ПОЛЬША ПОЛЬША</v>
      </c>
      <c r="D727" s="2" t="str">
        <v>ГКС-Ястшембе-Одра Ополе</v>
      </c>
      <c r="E727" s="3">
        <f>3.00</f>
      </c>
      <c r="F727" s="3">
        <f>3.10</f>
      </c>
      <c r="G727" s="3">
        <f>2.30</f>
      </c>
      <c r="H727" s="3">
        <f>=ROUND((1000/((1000/E727) + (1000/f727))),2)</f>
      </c>
      <c r="I727" s="3">
        <f>=ROUND((1000/((1000/E727) + (1000/G727))),2)</f>
      </c>
      <c r="J727" s="3">
        <f>=ROUND((1000/((1000/F727) + (1000/G727))),2)</f>
      </c>
    </row>
    <row r="728">
      <c r="A728" s="2" t="str">
        <v>01/05 ВС</v>
      </c>
      <c r="B728" s="2" t="str">
        <v>17:00</v>
      </c>
      <c r="C728" s="2" t="str">
        <v>ПОЛЬША ПОЛЬША</v>
      </c>
      <c r="D728" s="2" t="str">
        <v>Р. Жешув-Арка Гдыня</v>
      </c>
      <c r="E728" s="3">
        <f>2.75</f>
      </c>
      <c r="F728" s="3">
        <f>3.00</f>
      </c>
      <c r="G728" s="3">
        <f>2.40</f>
      </c>
      <c r="H728" s="3">
        <f>=ROUND((1000/((1000/E728) + (1000/f728))),2)</f>
      </c>
      <c r="I728" s="3">
        <f>=ROUND((1000/((1000/E728) + (1000/G728))),2)</f>
      </c>
      <c r="J728" s="3">
        <f>=ROUND((1000/((1000/F728) + (1000/G728))),2)</f>
      </c>
    </row>
    <row r="729">
      <c r="A729" s="2" t="str">
        <v>01/05 ВС</v>
      </c>
      <c r="B729" s="2" t="str">
        <v>20:00</v>
      </c>
      <c r="C729" s="2" t="str">
        <v>ПОЛЬША ПОЛЬША</v>
      </c>
      <c r="D729" s="2" t="str">
        <v>Пуща-Катовице</v>
      </c>
      <c r="E729" s="3">
        <f>2.20</f>
      </c>
      <c r="F729" s="3">
        <f>3.00</f>
      </c>
      <c r="G729" s="3">
        <f>3.10</f>
      </c>
      <c r="H729" s="3">
        <f>=ROUND((1000/((1000/E729) + (1000/f729))),2)</f>
      </c>
      <c r="I729" s="3">
        <f>=ROUND((1000/((1000/E729) + (1000/G729))),2)</f>
      </c>
      <c r="J729" s="3">
        <f>=ROUND((1000/((1000/F729) + (1000/G729))),2)</f>
      </c>
    </row>
    <row r="730">
      <c r="A730" s="2" t="str">
        <v>01/05 ВС</v>
      </c>
      <c r="B730" s="2" t="str">
        <v>17:30</v>
      </c>
      <c r="C730" s="2" t="str">
        <v>ПОЛЬША ПОЛЬША</v>
      </c>
      <c r="D730" s="2" t="str">
        <v>Рух-Знич</v>
      </c>
      <c r="E730" s="3">
        <f>-</f>
      </c>
      <c r="F730" s="3">
        <f>-</f>
      </c>
      <c r="G730" s="3">
        <f>-</f>
      </c>
      <c r="H730" s="3">
        <f>=ROUND((1000/((1000/E730) + (1000/f730))),2)</f>
      </c>
      <c r="I730" s="3">
        <f>=ROUND((1000/((1000/E730) + (1000/G730))),2)</f>
      </c>
      <c r="J730" s="3">
        <f>=ROUND((1000/((1000/F730) + (1000/G730))),2)</f>
      </c>
    </row>
    <row r="731">
      <c r="A731" s="2" t="str">
        <v>01/05 ВС</v>
      </c>
      <c r="B731" s="2" t="str">
        <v>18:00</v>
      </c>
      <c r="C731" s="2" t="str">
        <v>ПОЛЬША ПОЛЬША</v>
      </c>
      <c r="D731" s="2" t="str">
        <v>Лех 2-Калиш</v>
      </c>
      <c r="E731" s="3">
        <f>-</f>
      </c>
      <c r="F731" s="3">
        <f>-</f>
      </c>
      <c r="G731" s="3">
        <f>-</f>
      </c>
      <c r="H731" s="3">
        <f>=ROUND((1000/((1000/E731) + (1000/f731))),2)</f>
      </c>
      <c r="I731" s="3">
        <f>=ROUND((1000/((1000/E731) + (1000/G731))),2)</f>
      </c>
      <c r="J731" s="3">
        <f>=ROUND((1000/((1000/F731) + (1000/G731))),2)</f>
      </c>
    </row>
    <row r="732">
      <c r="A732" s="2" t="str">
        <v>01/05 ВС</v>
      </c>
      <c r="B732" s="2" t="str">
        <v>18:00</v>
      </c>
      <c r="C732" s="2" t="str">
        <v>ПОЛЬША ПОЛЬША</v>
      </c>
      <c r="D732" s="2" t="str">
        <v>Шлёнск Вроцлав 2-Висля Пулявы</v>
      </c>
      <c r="E732" s="3">
        <f>-</f>
      </c>
      <c r="F732" s="3">
        <f>-</f>
      </c>
      <c r="G732" s="3">
        <f>-</f>
      </c>
      <c r="H732" s="3">
        <f>=ROUND((1000/((1000/E732) + (1000/f732))),2)</f>
      </c>
      <c r="I732" s="3">
        <f>=ROUND((1000/((1000/E732) + (1000/G732))),2)</f>
      </c>
      <c r="J732" s="3">
        <f>=ROUND((1000/((1000/F732) + (1000/G732))),2)</f>
      </c>
    </row>
    <row r="733">
      <c r="A733" s="2" t="str">
        <v>01/05 ВС</v>
      </c>
      <c r="B733" s="2" t="str">
        <v>19:00</v>
      </c>
      <c r="C733" s="2" t="str">
        <v>ПОЛЬША ПОЛЬША</v>
      </c>
      <c r="D733" s="2" t="str">
        <v>Мотор Люблин-Сокул Острода</v>
      </c>
      <c r="E733" s="3">
        <f>-</f>
      </c>
      <c r="F733" s="3">
        <f>-</f>
      </c>
      <c r="G733" s="3">
        <f>-</f>
      </c>
      <c r="H733" s="3">
        <f>=ROUND((1000/((1000/E733) + (1000/f733))),2)</f>
      </c>
      <c r="I733" s="3">
        <f>=ROUND((1000/((1000/E733) + (1000/G733))),2)</f>
      </c>
      <c r="J733" s="3">
        <f>=ROUND((1000/((1000/F733) + (1000/G733))),2)</f>
      </c>
    </row>
    <row r="734">
      <c r="A734" s="2" t="str">
        <v>01/05 ВС</v>
      </c>
      <c r="B734" s="2" t="str">
        <v>19:00</v>
      </c>
      <c r="C734" s="2" t="str">
        <v>ПОЛЬША ПОЛЬША</v>
      </c>
      <c r="D734" s="2" t="str">
        <v>Погон Седльце-С. Жешув</v>
      </c>
      <c r="E734" s="3">
        <f>-</f>
      </c>
      <c r="F734" s="3">
        <f>-</f>
      </c>
      <c r="G734" s="3">
        <f>-</f>
      </c>
      <c r="H734" s="3">
        <f>=ROUND((1000/((1000/E734) + (1000/f734))),2)</f>
      </c>
      <c r="I734" s="3">
        <f>=ROUND((1000/((1000/E734) + (1000/G734))),2)</f>
      </c>
      <c r="J734" s="3">
        <f>=ROUND((1000/((1000/F734) + (1000/G734))),2)</f>
      </c>
    </row>
    <row r="735">
      <c r="A735" s="2" t="str">
        <v>01/05 ВС</v>
      </c>
      <c r="B735" s="2" t="str">
        <v>19:00</v>
      </c>
      <c r="C735" s="2" t="str">
        <v>ПОЛЬША ПОЛЬША</v>
      </c>
      <c r="D735" s="2" t="str">
        <v>Погонь Гродзиск-Мазовецкий-Олимпия Эльблонг</v>
      </c>
      <c r="E735" s="3">
        <f>-</f>
      </c>
      <c r="F735" s="3">
        <f>-</f>
      </c>
      <c r="G735" s="3">
        <f>-</f>
      </c>
      <c r="H735" s="3">
        <f>=ROUND((1000/((1000/E735) + (1000/f735))),2)</f>
      </c>
      <c r="I735" s="3">
        <f>=ROUND((1000/((1000/E735) + (1000/G735))),2)</f>
      </c>
      <c r="J735" s="3">
        <f>=ROUND((1000/((1000/F735) + (1000/G735))),2)</f>
      </c>
    </row>
    <row r="736">
      <c r="A736" s="2" t="str">
        <v>01/05 ВС</v>
      </c>
      <c r="B736" s="2" t="str">
        <v>19:00</v>
      </c>
      <c r="C736" s="2" t="str">
        <v>ПОЛЬША ПОЛЬША</v>
      </c>
      <c r="D736" s="2" t="str">
        <v>Хутник Краков-Стежица</v>
      </c>
      <c r="E736" s="3">
        <f>-</f>
      </c>
      <c r="F736" s="3">
        <f>-</f>
      </c>
      <c r="G736" s="3">
        <f>-</f>
      </c>
      <c r="H736" s="3">
        <f>=ROUND((1000/((1000/E736) + (1000/f736))),2)</f>
      </c>
      <c r="I736" s="3">
        <f>=ROUND((1000/((1000/E736) + (1000/G736))),2)</f>
      </c>
      <c r="J736" s="3">
        <f>=ROUND((1000/((1000/F736) + (1000/G736))),2)</f>
      </c>
    </row>
    <row r="737">
      <c r="A737" s="2" t="str">
        <v>01/05 ВС</v>
      </c>
      <c r="B737" s="2" t="str">
        <v>17:00</v>
      </c>
      <c r="C737" s="2" t="str">
        <v>ПОЛЬША ПОЛЬША</v>
      </c>
      <c r="D737" s="2" t="str">
        <v>Ягеллония II-Кутно</v>
      </c>
      <c r="E737" s="3">
        <f>-</f>
      </c>
      <c r="F737" s="3">
        <f>-</f>
      </c>
      <c r="G737" s="3">
        <f>-</f>
      </c>
      <c r="H737" s="3">
        <f>=ROUND((1000/((1000/E737) + (1000/f737))),2)</f>
      </c>
      <c r="I737" s="3">
        <f>=ROUND((1000/((1000/E737) + (1000/G737))),2)</f>
      </c>
      <c r="J737" s="3">
        <f>=ROUND((1000/((1000/F737) + (1000/G737))),2)</f>
      </c>
    </row>
    <row r="738">
      <c r="A738" s="2" t="str">
        <v>01/05 ВС</v>
      </c>
      <c r="B738" s="2" t="str">
        <v>18:00</v>
      </c>
      <c r="C738" s="2" t="str">
        <v>ПОЛЬША ПОЛЬША</v>
      </c>
      <c r="D738" s="2" t="str">
        <v>Свит-Сокол Александров</v>
      </c>
      <c r="E738" s="3">
        <f>-</f>
      </c>
      <c r="F738" s="3">
        <f>-</f>
      </c>
      <c r="G738" s="3">
        <f>-</f>
      </c>
      <c r="H738" s="3">
        <f>=ROUND((1000/((1000/E738) + (1000/f738))),2)</f>
      </c>
      <c r="I738" s="3">
        <f>=ROUND((1000/((1000/E738) + (1000/G738))),2)</f>
      </c>
      <c r="J738" s="3">
        <f>=ROUND((1000/((1000/F738) + (1000/G738))),2)</f>
      </c>
    </row>
    <row r="739">
      <c r="A739" s="2" t="str">
        <v>01/05 ВС</v>
      </c>
      <c r="B739" s="2" t="str">
        <v>17:00</v>
      </c>
      <c r="C739" s="2" t="str">
        <v>ПОЛЬША ПОЛЬША</v>
      </c>
      <c r="D739" s="2" t="str">
        <v>Котвица-Погонь Щецин II</v>
      </c>
      <c r="E739" s="3">
        <f>-</f>
      </c>
      <c r="F739" s="3">
        <f>-</f>
      </c>
      <c r="G739" s="3">
        <f>-</f>
      </c>
      <c r="H739" s="3">
        <f>=ROUND((1000/((1000/E739) + (1000/f739))),2)</f>
      </c>
      <c r="I739" s="3">
        <f>=ROUND((1000/((1000/E739) + (1000/G739))),2)</f>
      </c>
      <c r="J739" s="3">
        <f>=ROUND((1000/((1000/F739) + (1000/G739))),2)</f>
      </c>
    </row>
    <row r="740">
      <c r="A740" s="2" t="str">
        <v>01/05 ВС</v>
      </c>
      <c r="B740" s="2" t="str">
        <v>19:00</v>
      </c>
      <c r="C740" s="2" t="str">
        <v>ПОЛЬША ПОЛЬША</v>
      </c>
      <c r="D740" s="2" t="str">
        <v>Олимпия Грудзёндз-Старгард-Щециньски</v>
      </c>
      <c r="E740" s="3">
        <f>-</f>
      </c>
      <c r="F740" s="3">
        <f>-</f>
      </c>
      <c r="G740" s="3">
        <f>-</f>
      </c>
      <c r="H740" s="3">
        <f>=ROUND((1000/((1000/E740) + (1000/f740))),2)</f>
      </c>
      <c r="I740" s="3">
        <f>=ROUND((1000/((1000/E740) + (1000/G740))),2)</f>
      </c>
      <c r="J740" s="3">
        <f>=ROUND((1000/((1000/F740) + (1000/G740))),2)</f>
      </c>
    </row>
    <row r="741">
      <c r="A741" s="2" t="str">
        <v>01/05 ВС</v>
      </c>
      <c r="B741" s="2" t="str">
        <v>15:30</v>
      </c>
      <c r="C741" s="2" t="str">
        <v>ПОЛЬША ПОЛЬША</v>
      </c>
      <c r="D741" s="2" t="str">
        <v>Уния Тарнув-Чарни Полянец</v>
      </c>
      <c r="E741" s="3">
        <f>-</f>
      </c>
      <c r="F741" s="3">
        <f>-</f>
      </c>
      <c r="G741" s="3">
        <f>-</f>
      </c>
      <c r="H741" s="3">
        <f>=ROUND((1000/((1000/E741) + (1000/f741))),2)</f>
      </c>
      <c r="I741" s="3">
        <f>=ROUND((1000/((1000/E741) + (1000/G741))),2)</f>
      </c>
      <c r="J741" s="3">
        <f>=ROUND((1000/((1000/F741) + (1000/G741))),2)</f>
      </c>
    </row>
    <row r="742">
      <c r="A742" s="2" t="str">
        <v>01/05 ВС</v>
      </c>
      <c r="B742" s="2" t="str">
        <v>18:00</v>
      </c>
      <c r="C742" s="2" t="str">
        <v>ПОЛЬША ПОЛЬША</v>
      </c>
      <c r="D742" s="2" t="str">
        <v>Хельмянка Хельм-Вислока Дебица</v>
      </c>
      <c r="E742" s="3">
        <f>-</f>
      </c>
      <c r="F742" s="3">
        <f>-</f>
      </c>
      <c r="G742" s="3">
        <f>-</f>
      </c>
      <c r="H742" s="3">
        <f>=ROUND((1000/((1000/E742) + (1000/f742))),2)</f>
      </c>
      <c r="I742" s="3">
        <f>=ROUND((1000/((1000/E742) + (1000/G742))),2)</f>
      </c>
      <c r="J742" s="3">
        <f>=ROUND((1000/((1000/F742) + (1000/G742))),2)</f>
      </c>
    </row>
    <row r="743">
      <c r="A743" s="2" t="str">
        <v>01/05 ВС</v>
      </c>
      <c r="B743" s="2" t="str">
        <v>19:00</v>
      </c>
      <c r="C743" s="2" t="str">
        <v>ПОЛЬША ПОЛЬША</v>
      </c>
      <c r="D743" s="2" t="str">
        <v>Авиа Описание Свидник-Сокол Сенява</v>
      </c>
      <c r="E743" s="3">
        <f>-</f>
      </c>
      <c r="F743" s="3">
        <f>-</f>
      </c>
      <c r="G743" s="3">
        <f>-</f>
      </c>
      <c r="H743" s="3">
        <f>=ROUND((1000/((1000/E743) + (1000/f743))),2)</f>
      </c>
      <c r="I743" s="3">
        <f>=ROUND((1000/((1000/E743) + (1000/G743))),2)</f>
      </c>
      <c r="J743" s="3">
        <f>=ROUND((1000/((1000/F743) + (1000/G743))),2)</f>
      </c>
    </row>
    <row r="744">
      <c r="A744" s="2" t="str">
        <v>01/05 ВС</v>
      </c>
      <c r="B744" s="2" t="str">
        <v>19:00</v>
      </c>
      <c r="C744" s="2" t="str">
        <v>ПОЛЬША ПОЛЬША</v>
      </c>
      <c r="D744" s="2" t="str">
        <v>Сандомир-Орлета Радзынь</v>
      </c>
      <c r="E744" s="3">
        <f>-</f>
      </c>
      <c r="F744" s="3">
        <f>-</f>
      </c>
      <c r="G744" s="3">
        <f>-</f>
      </c>
      <c r="H744" s="3">
        <f>=ROUND((1000/((1000/E744) + (1000/f744))),2)</f>
      </c>
      <c r="I744" s="3">
        <f>=ROUND((1000/((1000/E744) + (1000/G744))),2)</f>
      </c>
      <c r="J744" s="3">
        <f>=ROUND((1000/((1000/F744) + (1000/G744))),2)</f>
      </c>
    </row>
    <row r="745" xml:space="preserve">
      <c r="A745" s="2" t="str">
        <v>01/05 ВС</v>
      </c>
      <c r="B745" s="2" t="str" xml:space="preserve">
        <v xml:space="preserve">15:00_x000d_
TKP</v>
      </c>
      <c r="C745" s="2" t="str">
        <v>ПОЛЬША ПОЛЬША</v>
      </c>
      <c r="D745" s="2" t="str">
        <v>Гурник Забже U18-Заглембе U18</v>
      </c>
      <c r="E745" s="3">
        <f>-</f>
      </c>
      <c r="F745" s="3">
        <f>-</f>
      </c>
      <c r="G745" s="3">
        <f>-</f>
      </c>
      <c r="H745" s="3">
        <f>=ROUND((1000/((1000/E745) + (1000/f745))),2)</f>
      </c>
      <c r="I745" s="3">
        <f>=ROUND((1000/((1000/E745) + (1000/G745))),2)</f>
      </c>
      <c r="J745" s="3">
        <f>=ROUND((1000/((1000/F745) + (1000/G745))),2)</f>
      </c>
    </row>
    <row r="746">
      <c r="A746" s="2" t="str">
        <v>01/05 ВС</v>
      </c>
      <c r="B746" s="2" t="str">
        <v>14:00</v>
      </c>
      <c r="C746" s="2" t="str">
        <v>ПОЛЬША ПОЛЬША</v>
      </c>
      <c r="D746" s="2" t="str">
        <v>Шлёнск Вроцлав (Ж)-Энергия (Ж)</v>
      </c>
      <c r="E746" s="3">
        <f>-</f>
      </c>
      <c r="F746" s="3">
        <f>-</f>
      </c>
      <c r="G746" s="3">
        <f>-</f>
      </c>
      <c r="H746" s="3">
        <f>=ROUND((1000/((1000/E746) + (1000/f746))),2)</f>
      </c>
      <c r="I746" s="3">
        <f>=ROUND((1000/((1000/E746) + (1000/G746))),2)</f>
      </c>
      <c r="J746" s="3">
        <f>=ROUND((1000/((1000/F746) + (1000/G746))),2)</f>
      </c>
    </row>
    <row r="747">
      <c r="A747" s="2" t="str">
        <v>01/05 ВС</v>
      </c>
      <c r="B747" s="2" t="str">
        <v>14:00</v>
      </c>
      <c r="C747" s="2" t="str">
        <v>ПОЛЬША ПОЛЬША</v>
      </c>
      <c r="D747" s="2" t="str">
        <v>Rekord Bielsko-Biala (Ж)-Быдгощ (Ж)</v>
      </c>
      <c r="E747" s="3">
        <f>-</f>
      </c>
      <c r="F747" s="3">
        <f>-</f>
      </c>
      <c r="G747" s="3">
        <f>-</f>
      </c>
      <c r="H747" s="3">
        <f>=ROUND((1000/((1000/E747) + (1000/f747))),2)</f>
      </c>
      <c r="I747" s="3">
        <f>=ROUND((1000/((1000/E747) + (1000/G747))),2)</f>
      </c>
      <c r="J747" s="3">
        <f>=ROUND((1000/((1000/F747) + (1000/G747))),2)</f>
      </c>
    </row>
    <row r="748">
      <c r="A748" s="2" t="str">
        <v>01/05 ВС</v>
      </c>
      <c r="B748" s="2" t="str">
        <v>00:00</v>
      </c>
      <c r="C748" s="2" t="str">
        <v>ПОРТУГАЛИЯ ПОРТУГАЛИЯ</v>
      </c>
      <c r="D748" s="2" t="str">
        <v>Белененсеш-Брага</v>
      </c>
      <c r="E748" s="3">
        <f>5.00</f>
      </c>
      <c r="F748" s="3">
        <f>3.75</f>
      </c>
      <c r="G748" s="3">
        <f>1.70</f>
      </c>
      <c r="H748" s="3">
        <f>=ROUND((1000/((1000/E748) + (1000/f748))),2)</f>
      </c>
      <c r="I748" s="3">
        <f>=ROUND((1000/((1000/E748) + (1000/G748))),2)</f>
      </c>
      <c r="J748" s="3">
        <f>=ROUND((1000/((1000/F748) + (1000/G748))),2)</f>
      </c>
    </row>
    <row r="749">
      <c r="A749" s="2" t="str">
        <v>01/05 ВС</v>
      </c>
      <c r="B749" s="2" t="str">
        <v>18:30</v>
      </c>
      <c r="C749" s="2" t="str">
        <v>ПОРТУГАЛИЯ ПОРТУГАЛИЯ</v>
      </c>
      <c r="D749" s="2" t="str">
        <v>Гимарайнш-Санта Клара</v>
      </c>
      <c r="E749" s="3">
        <f>1.90</f>
      </c>
      <c r="F749" s="3">
        <f>3.50</f>
      </c>
      <c r="G749" s="3">
        <f>4.00</f>
      </c>
      <c r="H749" s="3">
        <f>=ROUND((1000/((1000/E749) + (1000/f749))),2)</f>
      </c>
      <c r="I749" s="3">
        <f>=ROUND((1000/((1000/E749) + (1000/G749))),2)</f>
      </c>
      <c r="J749" s="3">
        <f>=ROUND((1000/((1000/F749) + (1000/G749))),2)</f>
      </c>
    </row>
    <row r="750">
      <c r="A750" s="2" t="str">
        <v>01/05 ВС</v>
      </c>
      <c r="B750" s="2" t="str">
        <v>21:00</v>
      </c>
      <c r="C750" s="2" t="str">
        <v>ПОРТУГАЛИЯ ПОРТУГАЛИЯ</v>
      </c>
      <c r="D750" s="2" t="str">
        <v>Морейренси-Боавишта</v>
      </c>
      <c r="E750" s="3">
        <f>2.20</f>
      </c>
      <c r="F750" s="3">
        <f>3.30</f>
      </c>
      <c r="G750" s="3">
        <f>3.30</f>
      </c>
      <c r="H750" s="3">
        <f>=ROUND((1000/((1000/E750) + (1000/f750))),2)</f>
      </c>
      <c r="I750" s="3">
        <f>=ROUND((1000/((1000/E750) + (1000/G750))),2)</f>
      </c>
      <c r="J750" s="3">
        <f>=ROUND((1000/((1000/F750) + (1000/G750))),2)</f>
      </c>
    </row>
    <row r="751">
      <c r="A751" s="2" t="str">
        <v>01/05 ВС</v>
      </c>
      <c r="B751" s="2" t="str">
        <v>23:30</v>
      </c>
      <c r="C751" s="2" t="str">
        <v>ПОРТУГАЛИЯ ПОРТУГАЛИЯ</v>
      </c>
      <c r="D751" s="2" t="str">
        <v>Спортинг-Жил Висенте</v>
      </c>
      <c r="E751" s="3">
        <f>1.33</f>
      </c>
      <c r="F751" s="3">
        <f>5.50</f>
      </c>
      <c r="G751" s="3">
        <f>8.50</f>
      </c>
      <c r="H751" s="3">
        <f>=ROUND((1000/((1000/E751) + (1000/f751))),2)</f>
      </c>
      <c r="I751" s="3">
        <f>=ROUND((1000/((1000/E751) + (1000/G751))),2)</f>
      </c>
      <c r="J751" s="3">
        <f>=ROUND((1000/((1000/F751) + (1000/G751))),2)</f>
      </c>
    </row>
    <row r="752">
      <c r="A752" s="2" t="str">
        <v>01/05 ВС</v>
      </c>
      <c r="B752" s="2" t="str">
        <v>14:00</v>
      </c>
      <c r="C752" s="2" t="str">
        <v>ПОРТУГАЛИЯ ПОРТУГАЛИЯ</v>
      </c>
      <c r="D752" s="2" t="str">
        <v>Вилафранкенше-Бенфика (Б)</v>
      </c>
      <c r="E752" s="3">
        <f>2.75</f>
      </c>
      <c r="F752" s="3">
        <f>3.25</f>
      </c>
      <c r="G752" s="3">
        <f>2.37</f>
      </c>
      <c r="H752" s="3">
        <f>=ROUND((1000/((1000/E752) + (1000/f752))),2)</f>
      </c>
      <c r="I752" s="3">
        <f>=ROUND((1000/((1000/E752) + (1000/G752))),2)</f>
      </c>
      <c r="J752" s="3">
        <f>=ROUND((1000/((1000/F752) + (1000/G752))),2)</f>
      </c>
    </row>
    <row r="753">
      <c r="A753" s="2" t="str">
        <v>01/05 ВС</v>
      </c>
      <c r="B753" s="2" t="str">
        <v>15:45</v>
      </c>
      <c r="C753" s="2" t="str">
        <v>ПОРТУГАЛИЯ ПОРТУГАЛИЯ</v>
      </c>
      <c r="D753" s="2" t="str">
        <v>Фейренси-Трофенше</v>
      </c>
      <c r="E753" s="3">
        <f>2.15</f>
      </c>
      <c r="F753" s="3">
        <f>3.00</f>
      </c>
      <c r="G753" s="3">
        <f>3.30</f>
      </c>
      <c r="H753" s="3">
        <f>=ROUND((1000/((1000/E753) + (1000/f753))),2)</f>
      </c>
      <c r="I753" s="3">
        <f>=ROUND((1000/((1000/E753) + (1000/G753))),2)</f>
      </c>
      <c r="J753" s="3">
        <f>=ROUND((1000/((1000/F753) + (1000/G753))),2)</f>
      </c>
    </row>
    <row r="754">
      <c r="A754" s="2" t="str">
        <v>01/05 ВС</v>
      </c>
      <c r="B754" s="2" t="str">
        <v>17:00</v>
      </c>
      <c r="C754" s="2" t="str">
        <v>ПОРТУГАЛИЯ ПОРТУГАЛИЯ</v>
      </c>
      <c r="D754" s="2" t="str">
        <v>Риу Аве-Каса Пиа</v>
      </c>
      <c r="E754" s="3">
        <f>2.50</f>
      </c>
      <c r="F754" s="3">
        <f>2.87</f>
      </c>
      <c r="G754" s="3">
        <f>2.80</f>
      </c>
      <c r="H754" s="3">
        <f>=ROUND((1000/((1000/E754) + (1000/f754))),2)</f>
      </c>
      <c r="I754" s="3">
        <f>=ROUND((1000/((1000/E754) + (1000/G754))),2)</f>
      </c>
      <c r="J754" s="3">
        <f>=ROUND((1000/((1000/F754) + (1000/G754))),2)</f>
      </c>
    </row>
    <row r="755">
      <c r="A755" s="2" t="str">
        <v>01/05 ВС</v>
      </c>
      <c r="B755" s="2" t="str">
        <v>14:00</v>
      </c>
      <c r="C755" s="2" t="str">
        <v>ПОРТУГАЛИЯ ПОРТУГАЛИЯ</v>
      </c>
      <c r="D755" s="2" t="str">
        <v>Анадия-Фафе</v>
      </c>
      <c r="E755" s="3">
        <f>-</f>
      </c>
      <c r="F755" s="3">
        <f>-</f>
      </c>
      <c r="G755" s="3">
        <f>-</f>
      </c>
      <c r="H755" s="3">
        <f>=ROUND((1000/((1000/E755) + (1000/f755))),2)</f>
      </c>
      <c r="I755" s="3">
        <f>=ROUND((1000/((1000/E755) + (1000/G755))),2)</f>
      </c>
      <c r="J755" s="3">
        <f>=ROUND((1000/((1000/F755) + (1000/G755))),2)</f>
      </c>
    </row>
    <row r="756">
      <c r="A756" s="2" t="str">
        <v>01/05 ВС</v>
      </c>
      <c r="B756" s="2" t="str">
        <v>14:00</v>
      </c>
      <c r="C756" s="2" t="str">
        <v>ПОРТУГАЛИЯ ПОРТУГАЛИЯ</v>
      </c>
      <c r="D756" s="2" t="str">
        <v>Калдаш-Сантарем</v>
      </c>
      <c r="E756" s="3">
        <f>-</f>
      </c>
      <c r="F756" s="3">
        <f>-</f>
      </c>
      <c r="G756" s="3">
        <f>-</f>
      </c>
      <c r="H756" s="3">
        <f>=ROUND((1000/((1000/E756) + (1000/f756))),2)</f>
      </c>
      <c r="I756" s="3">
        <f>=ROUND((1000/((1000/E756) + (1000/G756))),2)</f>
      </c>
      <c r="J756" s="3">
        <f>=ROUND((1000/((1000/F756) + (1000/G756))),2)</f>
      </c>
    </row>
    <row r="757">
      <c r="A757" s="2" t="str">
        <v>01/05 ВС</v>
      </c>
      <c r="B757" s="2" t="str">
        <v>14:00</v>
      </c>
      <c r="C757" s="2" t="str">
        <v>ПОРТУГАЛИЯ ПОРТУГАЛИЯ</v>
      </c>
      <c r="D757" s="2" t="str">
        <v>Канелас 2010-Лузитания</v>
      </c>
      <c r="E757" s="3">
        <f>-</f>
      </c>
      <c r="F757" s="3">
        <f>-</f>
      </c>
      <c r="G757" s="3">
        <f>-</f>
      </c>
      <c r="H757" s="3">
        <f>=ROUND((1000/((1000/E757) + (1000/f757))),2)</f>
      </c>
      <c r="I757" s="3">
        <f>=ROUND((1000/((1000/E757) + (1000/G757))),2)</f>
      </c>
      <c r="J757" s="3">
        <f>=ROUND((1000/((1000/F757) + (1000/G757))),2)</f>
      </c>
    </row>
    <row r="758">
      <c r="A758" s="2" t="str">
        <v>01/05 ВС</v>
      </c>
      <c r="B758" s="2" t="str">
        <v>14:00</v>
      </c>
      <c r="C758" s="2" t="str">
        <v>ПОРТУГАЛИЯ ПОРТУГАЛИЯ</v>
      </c>
      <c r="D758" s="2" t="str">
        <v>Кова-да-Пьедаде-Амора</v>
      </c>
      <c r="E758" s="3">
        <f>-</f>
      </c>
      <c r="F758" s="3">
        <f>-</f>
      </c>
      <c r="G758" s="3">
        <f>-</f>
      </c>
      <c r="H758" s="3">
        <f>=ROUND((1000/((1000/E758) + (1000/f758))),2)</f>
      </c>
      <c r="I758" s="3">
        <f>=ROUND((1000/((1000/E758) + (1000/G758))),2)</f>
      </c>
      <c r="J758" s="3">
        <f>=ROUND((1000/((1000/F758) + (1000/G758))),2)</f>
      </c>
    </row>
    <row r="759">
      <c r="A759" s="2" t="str">
        <v>01/05 ВС</v>
      </c>
      <c r="B759" s="2" t="str">
        <v>22:00</v>
      </c>
      <c r="C759" s="2" t="str">
        <v>ПОРТУГАЛИЯ ПОРТУГАЛИЯ</v>
      </c>
      <c r="D759" s="2" t="str">
        <v>Оливейренше-Брага (Б)</v>
      </c>
      <c r="E759" s="3">
        <f>-</f>
      </c>
      <c r="F759" s="3">
        <f>-</f>
      </c>
      <c r="G759" s="3">
        <f>-</f>
      </c>
      <c r="H759" s="3">
        <f>=ROUND((1000/((1000/E759) + (1000/f759))),2)</f>
      </c>
      <c r="I759" s="3">
        <f>=ROUND((1000/((1000/E759) + (1000/G759))),2)</f>
      </c>
      <c r="J759" s="3">
        <f>=ROUND((1000/((1000/F759) + (1000/G759))),2)</f>
      </c>
    </row>
    <row r="760">
      <c r="A760" s="2" t="str">
        <v>01/05 ВС</v>
      </c>
      <c r="B760" s="2" t="str">
        <v>22:00</v>
      </c>
      <c r="C760" s="2" t="str">
        <v>ПОРТУГАЛИЯ ПОРТУГАЛИЯ</v>
      </c>
      <c r="D760" s="2" t="str">
        <v>Сетубал-Лейрия</v>
      </c>
      <c r="E760" s="3">
        <f>-</f>
      </c>
      <c r="F760" s="3">
        <f>-</f>
      </c>
      <c r="G760" s="3">
        <f>-</f>
      </c>
      <c r="H760" s="3">
        <f>=ROUND((1000/((1000/E760) + (1000/f760))),2)</f>
      </c>
      <c r="I760" s="3">
        <f>=ROUND((1000/((1000/E760) + (1000/G760))),2)</f>
      </c>
      <c r="J760" s="3">
        <f>=ROUND((1000/((1000/F760) + (1000/G760))),2)</f>
      </c>
    </row>
    <row r="761" xml:space="preserve">
      <c r="A761" s="2" t="str">
        <v>01/05 ВС</v>
      </c>
      <c r="B761" s="2" t="str" xml:space="preserve">
        <v xml:space="preserve">14:00_x000d_
TKP</v>
      </c>
      <c r="C761" s="2" t="str">
        <v>ПОРТУГАЛИЯ ПОРТУГАЛИЯ</v>
      </c>
      <c r="D761" s="2" t="str">
        <v>Санта-Марта Пенагиан-Камара-ди-Лобуш</v>
      </c>
      <c r="E761" s="3">
        <f>-</f>
      </c>
      <c r="F761" s="3">
        <f>-</f>
      </c>
      <c r="G761" s="3">
        <f>-</f>
      </c>
      <c r="H761" s="3">
        <f>=ROUND((1000/((1000/E761) + (1000/f761))),2)</f>
      </c>
      <c r="I761" s="3">
        <f>=ROUND((1000/((1000/E761) + (1000/G761))),2)</f>
      </c>
      <c r="J761" s="3">
        <f>=ROUND((1000/((1000/F761) + (1000/G761))),2)</f>
      </c>
    </row>
    <row r="762" xml:space="preserve">
      <c r="A762" s="2" t="str">
        <v>01/05 ВС</v>
      </c>
      <c r="B762" s="2" t="str" xml:space="preserve">
        <v xml:space="preserve">19:00_x000d_
TKP</v>
      </c>
      <c r="C762" s="2" t="str">
        <v>ПОРТУГАЛИЯ ПОРТУГАЛИЯ</v>
      </c>
      <c r="D762" s="2" t="str">
        <v>Амаранте-Вила Реал</v>
      </c>
      <c r="E762" s="3">
        <f>-</f>
      </c>
      <c r="F762" s="3">
        <f>-</f>
      </c>
      <c r="G762" s="3">
        <f>-</f>
      </c>
      <c r="H762" s="3">
        <f>=ROUND((1000/((1000/E762) + (1000/f762))),2)</f>
      </c>
      <c r="I762" s="3">
        <f>=ROUND((1000/((1000/E762) + (1000/G762))),2)</f>
      </c>
      <c r="J762" s="3">
        <f>=ROUND((1000/((1000/F762) + (1000/G762))),2)</f>
      </c>
    </row>
    <row r="763" xml:space="preserve">
      <c r="A763" s="2" t="str">
        <v>01/05 ВС</v>
      </c>
      <c r="B763" s="2" t="str" xml:space="preserve">
        <v xml:space="preserve">19:00_x000d_
TKP</v>
      </c>
      <c r="C763" s="2" t="str">
        <v>ПОРТУГАЛИЯ ПОРТУГАЛИЯ</v>
      </c>
      <c r="D763" s="2" t="str">
        <v>Баррейренси-Юв. Эвора</v>
      </c>
      <c r="E763" s="3">
        <f>-</f>
      </c>
      <c r="F763" s="3">
        <f>-</f>
      </c>
      <c r="G763" s="3">
        <f>-</f>
      </c>
      <c r="H763" s="3">
        <f>=ROUND((1000/((1000/E763) + (1000/f763))),2)</f>
      </c>
      <c r="I763" s="3">
        <f>=ROUND((1000/((1000/E763) + (1000/G763))),2)</f>
      </c>
      <c r="J763" s="3">
        <f>=ROUND((1000/((1000/F763) + (1000/G763))),2)</f>
      </c>
    </row>
    <row r="764" xml:space="preserve">
      <c r="A764" s="2" t="str">
        <v>01/05 ВС</v>
      </c>
      <c r="B764" s="2" t="str" xml:space="preserve">
        <v xml:space="preserve">19:00_x000d_
TKP</v>
      </c>
      <c r="C764" s="2" t="str">
        <v>ПОРТУГАЛИЯ ПОРТУГАЛИЯ</v>
      </c>
      <c r="D764" s="2" t="str">
        <v>Валадареш Гайя-Альваренга</v>
      </c>
      <c r="E764" s="3">
        <f>-</f>
      </c>
      <c r="F764" s="3">
        <f>-</f>
      </c>
      <c r="G764" s="3">
        <f>-</f>
      </c>
      <c r="H764" s="3">
        <f>=ROUND((1000/((1000/E764) + (1000/f764))),2)</f>
      </c>
      <c r="I764" s="3">
        <f>=ROUND((1000/((1000/E764) + (1000/G764))),2)</f>
      </c>
      <c r="J764" s="3">
        <f>=ROUND((1000/((1000/F764) + (1000/G764))),2)</f>
      </c>
    </row>
    <row r="765" xml:space="preserve">
      <c r="A765" s="2" t="str">
        <v>01/05 ВС</v>
      </c>
      <c r="B765" s="2" t="str" xml:space="preserve">
        <v xml:space="preserve">19:00_x000d_
TKP</v>
      </c>
      <c r="C765" s="2" t="str">
        <v>ПОРТУГАЛИЯ ПОРТУГАЛИЯ</v>
      </c>
      <c r="D765" s="2" t="str">
        <v>Вианенше-Мерелиненсе</v>
      </c>
      <c r="E765" s="3">
        <f>-</f>
      </c>
      <c r="F765" s="3">
        <f>-</f>
      </c>
      <c r="G765" s="3">
        <f>-</f>
      </c>
      <c r="H765" s="3">
        <f>=ROUND((1000/((1000/E765) + (1000/f765))),2)</f>
      </c>
      <c r="I765" s="3">
        <f>=ROUND((1000/((1000/E765) + (1000/G765))),2)</f>
      </c>
      <c r="J765" s="3">
        <f>=ROUND((1000/((1000/F765) + (1000/G765))),2)</f>
      </c>
    </row>
    <row r="766" xml:space="preserve">
      <c r="A766" s="2" t="str">
        <v>01/05 ВС</v>
      </c>
      <c r="B766" s="2" t="str" xml:space="preserve">
        <v xml:space="preserve">19:00_x000d_
TKP</v>
      </c>
      <c r="C766" s="2" t="str">
        <v>ПОРТУГАЛИЯ ПОРТУГАЛИЯ</v>
      </c>
      <c r="D766" s="2" t="str">
        <v>Вила Меа-Камаша</v>
      </c>
      <c r="E766" s="3">
        <f>-</f>
      </c>
      <c r="F766" s="3">
        <f>-</f>
      </c>
      <c r="G766" s="3">
        <f>-</f>
      </c>
      <c r="H766" s="3">
        <f>=ROUND((1000/((1000/E766) + (1000/f766))),2)</f>
      </c>
      <c r="I766" s="3">
        <f>=ROUND((1000/((1000/E766) + (1000/G766))),2)</f>
      </c>
      <c r="J766" s="3">
        <f>=ROUND((1000/((1000/F766) + (1000/G766))),2)</f>
      </c>
    </row>
    <row r="767" xml:space="preserve">
      <c r="A767" s="2" t="str">
        <v>01/05 ВС</v>
      </c>
      <c r="B767" s="2" t="str" xml:space="preserve">
        <v xml:space="preserve">19:00_x000d_
TKP</v>
      </c>
      <c r="C767" s="2" t="str">
        <v>ПОРТУГАЛИЯ ПОРТУГАЛИЯ</v>
      </c>
      <c r="D767" s="2" t="str">
        <v>Иданьенсе-Олейрос</v>
      </c>
      <c r="E767" s="3">
        <f>-</f>
      </c>
      <c r="F767" s="3">
        <f>-</f>
      </c>
      <c r="G767" s="3">
        <f>-</f>
      </c>
      <c r="H767" s="3">
        <f>=ROUND((1000/((1000/E767) + (1000/f767))),2)</f>
      </c>
      <c r="I767" s="3">
        <f>=ROUND((1000/((1000/E767) + (1000/G767))),2)</f>
      </c>
      <c r="J767" s="3">
        <f>=ROUND((1000/((1000/F767) + (1000/G767))),2)</f>
      </c>
    </row>
    <row r="768" xml:space="preserve">
      <c r="A768" s="2" t="str">
        <v>01/05 ВС</v>
      </c>
      <c r="B768" s="2" t="str" xml:space="preserve">
        <v xml:space="preserve">19:00_x000d_
TKP</v>
      </c>
      <c r="C768" s="2" t="str">
        <v>ПОРТУГАЛИЯ ПОРТУГАЛИЯ</v>
      </c>
      <c r="D768" s="2" t="str">
        <v>Имортал-Лоюлетано</v>
      </c>
      <c r="E768" s="3">
        <f>-</f>
      </c>
      <c r="F768" s="3">
        <f>-</f>
      </c>
      <c r="G768" s="3">
        <f>-</f>
      </c>
      <c r="H768" s="3">
        <f>=ROUND((1000/((1000/E768) + (1000/f768))),2)</f>
      </c>
      <c r="I768" s="3">
        <f>=ROUND((1000/((1000/E768) + (1000/G768))),2)</f>
      </c>
      <c r="J768" s="3">
        <f>=ROUND((1000/((1000/F768) + (1000/G768))),2)</f>
      </c>
    </row>
    <row r="769" xml:space="preserve">
      <c r="A769" s="2" t="str">
        <v>01/05 ВС</v>
      </c>
      <c r="B769" s="2" t="str" xml:space="preserve">
        <v xml:space="preserve">19:00_x000d_
TKP</v>
      </c>
      <c r="C769" s="2" t="str">
        <v>ПОРТУГАЛИЯ ПОРТУГАЛИЯ</v>
      </c>
      <c r="D769" s="2" t="str">
        <v>Кондейша-Кастелу Бранку</v>
      </c>
      <c r="E769" s="3">
        <f>-</f>
      </c>
      <c r="F769" s="3">
        <f>-</f>
      </c>
      <c r="G769" s="3">
        <f>-</f>
      </c>
      <c r="H769" s="3">
        <f>=ROUND((1000/((1000/E769) + (1000/f769))),2)</f>
      </c>
      <c r="I769" s="3">
        <f>=ROUND((1000/((1000/E769) + (1000/G769))),2)</f>
      </c>
      <c r="J769" s="3">
        <f>=ROUND((1000/((1000/F769) + (1000/G769))),2)</f>
      </c>
    </row>
    <row r="770" xml:space="preserve">
      <c r="A770" s="2" t="str">
        <v>01/05 ВС</v>
      </c>
      <c r="B770" s="2" t="str" xml:space="preserve">
        <v xml:space="preserve">19:00_x000d_
TKP</v>
      </c>
      <c r="C770" s="2" t="str">
        <v>ПОРТУГАЛИЯ ПОРТУГАЛИЯ</v>
      </c>
      <c r="D770" s="2" t="str">
        <v>Лимианос-Форжайнш</v>
      </c>
      <c r="E770" s="3">
        <f>-</f>
      </c>
      <c r="F770" s="3">
        <f>-</f>
      </c>
      <c r="G770" s="3">
        <f>-</f>
      </c>
      <c r="H770" s="3">
        <f>=ROUND((1000/((1000/E770) + (1000/f770))),2)</f>
      </c>
      <c r="I770" s="3">
        <f>=ROUND((1000/((1000/E770) + (1000/G770))),2)</f>
      </c>
      <c r="J770" s="3">
        <f>=ROUND((1000/((1000/F770) + (1000/G770))),2)</f>
      </c>
    </row>
    <row r="771" xml:space="preserve">
      <c r="A771" s="2" t="str">
        <v>01/05 ВС</v>
      </c>
      <c r="B771" s="2" t="str" xml:space="preserve">
        <v xml:space="preserve">19:00_x000d_
TKP</v>
      </c>
      <c r="C771" s="2" t="str">
        <v>ПОРТУГАЛИЯ ПОРТУГАЛИЯ</v>
      </c>
      <c r="D771" s="2" t="str">
        <v>Македо Кавалейрос-Мирандела</v>
      </c>
      <c r="E771" s="3">
        <f>-</f>
      </c>
      <c r="F771" s="3">
        <f>-</f>
      </c>
      <c r="G771" s="3">
        <f>-</f>
      </c>
      <c r="H771" s="3">
        <f>=ROUND((1000/((1000/E771) + (1000/f771))),2)</f>
      </c>
      <c r="I771" s="3">
        <f>=ROUND((1000/((1000/E771) + (1000/G771))),2)</f>
      </c>
      <c r="J771" s="3">
        <f>=ROUND((1000/((1000/F771) + (1000/G771))),2)</f>
      </c>
    </row>
    <row r="772" xml:space="preserve">
      <c r="A772" s="2" t="str">
        <v>01/05 ВС</v>
      </c>
      <c r="B772" s="2" t="str" xml:space="preserve">
        <v xml:space="preserve">19:00_x000d_
TKP</v>
      </c>
      <c r="C772" s="2" t="str">
        <v>ПОРТУГАЛИЯ ПОРТУГАЛИЯ</v>
      </c>
      <c r="D772" s="2" t="str">
        <v>Мариа де Фонте-Педраш Сальгадаш</v>
      </c>
      <c r="E772" s="3">
        <f>-</f>
      </c>
      <c r="F772" s="3">
        <f>-</f>
      </c>
      <c r="G772" s="3">
        <f>-</f>
      </c>
      <c r="H772" s="3">
        <f>=ROUND((1000/((1000/E772) + (1000/f772))),2)</f>
      </c>
      <c r="I772" s="3">
        <f>=ROUND((1000/((1000/E772) + (1000/G772))),2)</f>
      </c>
      <c r="J772" s="3">
        <f>=ROUND((1000/((1000/F772) + (1000/G772))),2)</f>
      </c>
    </row>
    <row r="773" xml:space="preserve">
      <c r="A773" s="2" t="str">
        <v>01/05 ВС</v>
      </c>
      <c r="B773" s="2" t="str" xml:space="preserve">
        <v xml:space="preserve">19:00_x000d_
TKP</v>
      </c>
      <c r="C773" s="2" t="str">
        <v>ПОРТУГАЛИЯ ПОРТУГАЛИЯ</v>
      </c>
      <c r="D773" s="2" t="str">
        <v>Мариненше-Корученше</v>
      </c>
      <c r="E773" s="3">
        <f>-</f>
      </c>
      <c r="F773" s="3">
        <f>-</f>
      </c>
      <c r="G773" s="3">
        <f>-</f>
      </c>
      <c r="H773" s="3">
        <f>=ROUND((1000/((1000/E773) + (1000/f773))),2)</f>
      </c>
      <c r="I773" s="3">
        <f>=ROUND((1000/((1000/E773) + (1000/G773))),2)</f>
      </c>
      <c r="J773" s="3">
        <f>=ROUND((1000/((1000/F773) + (1000/G773))),2)</f>
      </c>
    </row>
    <row r="774" xml:space="preserve">
      <c r="A774" s="2" t="str">
        <v>01/05 ВС</v>
      </c>
      <c r="B774" s="2" t="str" xml:space="preserve">
        <v xml:space="preserve">19:00_x000d_
TKP</v>
      </c>
      <c r="C774" s="2" t="str">
        <v>ПОРТУГАЛИЯ ПОРТУГАЛИЯ</v>
      </c>
      <c r="D774" s="2" t="str">
        <v>О Элваш-Лореш</v>
      </c>
      <c r="E774" s="3">
        <f>-</f>
      </c>
      <c r="F774" s="3">
        <f>-</f>
      </c>
      <c r="G774" s="3">
        <f>-</f>
      </c>
      <c r="H774" s="3">
        <f>=ROUND((1000/((1000/E774) + (1000/f774))),2)</f>
      </c>
      <c r="I774" s="3">
        <f>=ROUND((1000/((1000/E774) + (1000/G774))),2)</f>
      </c>
      <c r="J774" s="3">
        <f>=ROUND((1000/((1000/F774) + (1000/G774))),2)</f>
      </c>
    </row>
    <row r="775" xml:space="preserve">
      <c r="A775" s="2" t="str">
        <v>01/05 ВС</v>
      </c>
      <c r="B775" s="2" t="str" xml:space="preserve">
        <v xml:space="preserve">19:00_x000d_
TKP</v>
      </c>
      <c r="C775" s="2" t="str">
        <v>ПОРТУГАЛИЯ ПОРТУГАЛИЯ</v>
      </c>
      <c r="D775" s="2" t="str">
        <v>Пениш-Витория Серначе</v>
      </c>
      <c r="E775" s="3">
        <f>-</f>
      </c>
      <c r="F775" s="3">
        <f>-</f>
      </c>
      <c r="G775" s="3">
        <f>-</f>
      </c>
      <c r="H775" s="3">
        <f>=ROUND((1000/((1000/E775) + (1000/f775))),2)</f>
      </c>
      <c r="I775" s="3">
        <f>=ROUND((1000/((1000/E775) + (1000/G775))),2)</f>
      </c>
      <c r="J775" s="3">
        <f>=ROUND((1000/((1000/F775) + (1000/G775))),2)</f>
      </c>
    </row>
    <row r="776" xml:space="preserve">
      <c r="A776" s="2" t="str">
        <v>01/05 ВС</v>
      </c>
      <c r="B776" s="2" t="str" xml:space="preserve">
        <v xml:space="preserve">19:00_x000d_
TKP</v>
      </c>
      <c r="C776" s="2" t="str">
        <v>ПОРТУГАЛИЯ ПОРТУГАЛИЯ</v>
      </c>
      <c r="D776" s="2" t="str">
        <v>Сакавененше-Синтренсе</v>
      </c>
      <c r="E776" s="3">
        <f>-</f>
      </c>
      <c r="F776" s="3">
        <f>-</f>
      </c>
      <c r="G776" s="3">
        <f>-</f>
      </c>
      <c r="H776" s="3">
        <f>=ROUND((1000/((1000/E776) + (1000/f776))),2)</f>
      </c>
      <c r="I776" s="3">
        <f>=ROUND((1000/((1000/E776) + (1000/G776))),2)</f>
      </c>
      <c r="J776" s="3">
        <f>=ROUND((1000/((1000/F776) + (1000/G776))),2)</f>
      </c>
    </row>
    <row r="777" xml:space="preserve">
      <c r="A777" s="2" t="str">
        <v>01/05 ВС</v>
      </c>
      <c r="B777" s="2" t="str" xml:space="preserve">
        <v xml:space="preserve">19:00_x000d_
TKP</v>
      </c>
      <c r="C777" s="2" t="str">
        <v>ПОРТУГАЛИЯ ПОРТУГАЛИЯ</v>
      </c>
      <c r="D777" s="2" t="str">
        <v>Тирсенсе-Берко</v>
      </c>
      <c r="E777" s="3">
        <f>-</f>
      </c>
      <c r="F777" s="3">
        <f>-</f>
      </c>
      <c r="G777" s="3">
        <f>-</f>
      </c>
      <c r="H777" s="3">
        <f>=ROUND((1000/((1000/E777) + (1000/f777))),2)</f>
      </c>
      <c r="I777" s="3">
        <f>=ROUND((1000/((1000/E777) + (1000/G777))),2)</f>
      </c>
      <c r="J777" s="3">
        <f>=ROUND((1000/((1000/F777) + (1000/G777))),2)</f>
      </c>
    </row>
    <row r="778" xml:space="preserve">
      <c r="A778" s="2" t="str">
        <v>01/05 ВС</v>
      </c>
      <c r="B778" s="2" t="str" xml:space="preserve">
        <v xml:space="preserve">19:00_x000d_
TKP</v>
      </c>
      <c r="C778" s="2" t="str">
        <v>ПОРТУГАЛИЯ ПОРТУГАЛИЯ</v>
      </c>
      <c r="D778" s="2" t="str">
        <v>Униао де Коимбра-Гувейя</v>
      </c>
      <c r="E778" s="3">
        <f>-</f>
      </c>
      <c r="F778" s="3">
        <f>-</f>
      </c>
      <c r="G778" s="3">
        <f>-</f>
      </c>
      <c r="H778" s="3">
        <f>=ROUND((1000/((1000/E778) + (1000/f778))),2)</f>
      </c>
      <c r="I778" s="3">
        <f>=ROUND((1000/((1000/E778) + (1000/G778))),2)</f>
      </c>
      <c r="J778" s="3">
        <f>=ROUND((1000/((1000/F778) + (1000/G778))),2)</f>
      </c>
    </row>
    <row r="779" xml:space="preserve">
      <c r="A779" s="2" t="str">
        <v>01/05 ВС</v>
      </c>
      <c r="B779" s="2" t="str" xml:space="preserve">
        <v xml:space="preserve">19:00_x000d_
TKP</v>
      </c>
      <c r="C779" s="2" t="str">
        <v>ПОРТУГАЛИЯ ПОРТУГАЛИЯ</v>
      </c>
      <c r="D779" s="2" t="str">
        <v>Униао Монтемор-Серпа</v>
      </c>
      <c r="E779" s="3">
        <f>-</f>
      </c>
      <c r="F779" s="3">
        <f>-</f>
      </c>
      <c r="G779" s="3">
        <f>-</f>
      </c>
      <c r="H779" s="3">
        <f>=ROUND((1000/((1000/E779) + (1000/f779))),2)</f>
      </c>
      <c r="I779" s="3">
        <f>=ROUND((1000/((1000/E779) + (1000/G779))),2)</f>
      </c>
      <c r="J779" s="3">
        <f>=ROUND((1000/((1000/F779) + (1000/G779))),2)</f>
      </c>
    </row>
    <row r="780" xml:space="preserve">
      <c r="A780" s="2" t="str">
        <v>01/05 ВС</v>
      </c>
      <c r="B780" s="2" t="str" xml:space="preserve">
        <v xml:space="preserve">19:00_x000d_
TKP</v>
      </c>
      <c r="C780" s="2" t="str">
        <v>ПОРТУГАЛИЯ ПОРТУГАЛИЯ</v>
      </c>
      <c r="D780" s="2" t="str">
        <v>Феррейра де Авеш-Каштру-Дайри</v>
      </c>
      <c r="E780" s="3">
        <f>-</f>
      </c>
      <c r="F780" s="3">
        <f>-</f>
      </c>
      <c r="G780" s="3">
        <f>-</f>
      </c>
      <c r="H780" s="3">
        <f>=ROUND((1000/((1000/E780) + (1000/f780))),2)</f>
      </c>
      <c r="I780" s="3">
        <f>=ROUND((1000/((1000/E780) + (1000/G780))),2)</f>
      </c>
      <c r="J780" s="3">
        <f>=ROUND((1000/((1000/F780) + (1000/G780))),2)</f>
      </c>
    </row>
    <row r="781" xml:space="preserve">
      <c r="A781" s="2" t="str">
        <v>01/05 ВС</v>
      </c>
      <c r="B781" s="2" t="str" xml:space="preserve">
        <v xml:space="preserve">20:00_x000d_
TKP</v>
      </c>
      <c r="C781" s="2" t="str">
        <v>ПОРТУГАЛИЯ ПОРТУГАЛИЯ</v>
      </c>
      <c r="D781" s="2" t="str">
        <v>Операрио-Праенсе</v>
      </c>
      <c r="E781" s="3">
        <f>-</f>
      </c>
      <c r="F781" s="3">
        <f>-</f>
      </c>
      <c r="G781" s="3">
        <f>-</f>
      </c>
      <c r="H781" s="3">
        <f>=ROUND((1000/((1000/E781) + (1000/f781))),2)</f>
      </c>
      <c r="I781" s="3">
        <f>=ROUND((1000/((1000/E781) + (1000/G781))),2)</f>
      </c>
      <c r="J781" s="3">
        <f>=ROUND((1000/((1000/F781) + (1000/G781))),2)</f>
      </c>
    </row>
    <row r="782" xml:space="preserve">
      <c r="A782" s="2" t="str">
        <v>01/05 ВС</v>
      </c>
      <c r="B782" s="2" t="str" xml:space="preserve">
        <v xml:space="preserve">20:00_x000d_
TKP</v>
      </c>
      <c r="C782" s="2" t="str">
        <v>ПОРТУГАЛИЯ ПОРТУГАЛИЯ</v>
      </c>
      <c r="D782" s="2" t="str">
        <v>Спортинг Идеал-Рабу Пейше</v>
      </c>
      <c r="E782" s="3">
        <f>-</f>
      </c>
      <c r="F782" s="3">
        <f>-</f>
      </c>
      <c r="G782" s="3">
        <f>-</f>
      </c>
      <c r="H782" s="3">
        <f>=ROUND((1000/((1000/E782) + (1000/f782))),2)</f>
      </c>
      <c r="I782" s="3">
        <f>=ROUND((1000/((1000/E782) + (1000/G782))),2)</f>
      </c>
      <c r="J782" s="3">
        <f>=ROUND((1000/((1000/F782) + (1000/G782))),2)</f>
      </c>
    </row>
    <row r="783" xml:space="preserve">
      <c r="A783" s="2" t="str">
        <v>01/05 ВС</v>
      </c>
      <c r="B783" s="2" t="str" xml:space="preserve">
        <v xml:space="preserve">17:00_x000d_
TKP</v>
      </c>
      <c r="C783" s="2" t="str">
        <v>ПОРТУГАЛИЯ ПОРТУГАЛИЯ</v>
      </c>
      <c r="D783" s="2" t="str">
        <v>Монкарапаченс-Фоньиньяс</v>
      </c>
      <c r="E783" s="3">
        <f>-</f>
      </c>
      <c r="F783" s="3">
        <f>-</f>
      </c>
      <c r="G783" s="3">
        <f>-</f>
      </c>
      <c r="H783" s="3">
        <f>=ROUND((1000/((1000/E783) + (1000/f783))),2)</f>
      </c>
      <c r="I783" s="3">
        <f>=ROUND((1000/((1000/E783) + (1000/G783))),2)</f>
      </c>
      <c r="J783" s="3">
        <f>=ROUND((1000/((1000/F783) + (1000/G783))),2)</f>
      </c>
    </row>
    <row r="784" xml:space="preserve">
      <c r="A784" s="2" t="str">
        <v>01/05 ВС</v>
      </c>
      <c r="B784" s="2" t="str" xml:space="preserve">
        <v xml:space="preserve">19:00_x000d_
TKP</v>
      </c>
      <c r="C784" s="2" t="str">
        <v>ПОРТУГАЛИЯ ПОРТУГАЛИЯ</v>
      </c>
      <c r="D784" s="2" t="str">
        <v>Лека-Паредес</v>
      </c>
      <c r="E784" s="3">
        <f>-</f>
      </c>
      <c r="F784" s="3">
        <f>-</f>
      </c>
      <c r="G784" s="3">
        <f>-</f>
      </c>
      <c r="H784" s="3">
        <f>=ROUND((1000/((1000/E784) + (1000/f784))),2)</f>
      </c>
      <c r="I784" s="3">
        <f>=ROUND((1000/((1000/E784) + (1000/G784))),2)</f>
      </c>
      <c r="J784" s="3">
        <f>=ROUND((1000/((1000/F784) + (1000/G784))),2)</f>
      </c>
    </row>
    <row r="785" xml:space="preserve">
      <c r="A785" s="2" t="str">
        <v>01/05 ВС</v>
      </c>
      <c r="B785" s="2" t="str" xml:space="preserve">
        <v xml:space="preserve">19:00_x000d_
TKP</v>
      </c>
      <c r="C785" s="2" t="str">
        <v>ПОРТУГАЛИЯ ПОРТУГАЛИЯ</v>
      </c>
      <c r="D785" s="2" t="str">
        <v>ОС Белененсеш-Ольяненсе</v>
      </c>
      <c r="E785" s="3">
        <f>-</f>
      </c>
      <c r="F785" s="3">
        <f>-</f>
      </c>
      <c r="G785" s="3">
        <f>-</f>
      </c>
      <c r="H785" s="3">
        <f>=ROUND((1000/((1000/E785) + (1000/f785))),2)</f>
      </c>
      <c r="I785" s="3">
        <f>=ROUND((1000/((1000/E785) + (1000/G785))),2)</f>
      </c>
      <c r="J785" s="3">
        <f>=ROUND((1000/((1000/F785) + (1000/G785))),2)</f>
      </c>
    </row>
    <row r="786" xml:space="preserve">
      <c r="A786" s="2" t="str">
        <v>01/05 ВС</v>
      </c>
      <c r="B786" s="2" t="str" xml:space="preserve">
        <v xml:space="preserve">19:00_x000d_
TKP</v>
      </c>
      <c r="C786" s="2" t="str">
        <v>ПОРТУГАЛИЯ ПОРТУГАЛИЯ</v>
      </c>
      <c r="D786" s="2" t="str">
        <v>Перу-Пиньейру-Сертаненсе</v>
      </c>
      <c r="E786" s="3">
        <f>-</f>
      </c>
      <c r="F786" s="3">
        <f>-</f>
      </c>
      <c r="G786" s="3">
        <f>-</f>
      </c>
      <c r="H786" s="3">
        <f>=ROUND((1000/((1000/E786) + (1000/f786))),2)</f>
      </c>
      <c r="I786" s="3">
        <f>=ROUND((1000/((1000/E786) + (1000/G786))),2)</f>
      </c>
      <c r="J786" s="3">
        <f>=ROUND((1000/((1000/F786) + (1000/G786))),2)</f>
      </c>
    </row>
    <row r="787" xml:space="preserve">
      <c r="A787" s="2" t="str">
        <v>01/05 ВС</v>
      </c>
      <c r="B787" s="2" t="str" xml:space="preserve">
        <v xml:space="preserve">19:00_x000d_
TKP</v>
      </c>
      <c r="C787" s="2" t="str">
        <v>ПОРТУГАЛИЯ ПОРТУГАЛИЯ</v>
      </c>
      <c r="D787" s="2" t="str">
        <v>Салгейруш-Вилаверденше</v>
      </c>
      <c r="E787" s="3">
        <f>-</f>
      </c>
      <c r="F787" s="3">
        <f>-</f>
      </c>
      <c r="G787" s="3">
        <f>-</f>
      </c>
      <c r="H787" s="3">
        <f>=ROUND((1000/((1000/E787) + (1000/f787))),2)</f>
      </c>
      <c r="I787" s="3">
        <f>=ROUND((1000/((1000/E787) + (1000/G787))),2)</f>
      </c>
      <c r="J787" s="3">
        <f>=ROUND((1000/((1000/F787) + (1000/G787))),2)</f>
      </c>
    </row>
    <row r="788" xml:space="preserve">
      <c r="A788" s="2" t="str">
        <v>01/05 ВС</v>
      </c>
      <c r="B788" s="2" t="str" xml:space="preserve">
        <v xml:space="preserve">19:00_x000d_
TKP</v>
      </c>
      <c r="C788" s="2" t="str">
        <v>ПОРТУГАЛИЯ ПОРТУГАЛИЯ</v>
      </c>
      <c r="D788" s="2" t="str">
        <v>Сан-Мартинью-Маритиму (Б)</v>
      </c>
      <c r="E788" s="3">
        <f>-</f>
      </c>
      <c r="F788" s="3">
        <f>-</f>
      </c>
      <c r="G788" s="3">
        <f>-</f>
      </c>
      <c r="H788" s="3">
        <f>=ROUND((1000/((1000/E788) + (1000/f788))),2)</f>
      </c>
      <c r="I788" s="3">
        <f>=ROUND((1000/((1000/E788) + (1000/G788))),2)</f>
      </c>
      <c r="J788" s="3">
        <f>=ROUND((1000/((1000/F788) + (1000/G788))),2)</f>
      </c>
    </row>
    <row r="789" xml:space="preserve">
      <c r="A789" s="2" t="str">
        <v>01/05 ВС</v>
      </c>
      <c r="B789" s="2" t="str" xml:space="preserve">
        <v xml:space="preserve">19:00_x000d_
TKP</v>
      </c>
      <c r="C789" s="2" t="str">
        <v>ПОРТУГАЛИЯ ПОРТУГАЛИЯ</v>
      </c>
      <c r="D789" s="2" t="str">
        <v>Жил Висенте (Ж)-Амора (Ж)</v>
      </c>
      <c r="E789" s="3">
        <f>-</f>
      </c>
      <c r="F789" s="3">
        <f>-</f>
      </c>
      <c r="G789" s="3">
        <f>-</f>
      </c>
      <c r="H789" s="3">
        <f>=ROUND((1000/((1000/E789) + (1000/f789))),2)</f>
      </c>
      <c r="I789" s="3">
        <f>=ROUND((1000/((1000/E789) + (1000/G789))),2)</f>
      </c>
      <c r="J789" s="3">
        <f>=ROUND((1000/((1000/F789) + (1000/G789))),2)</f>
      </c>
    </row>
    <row r="790" xml:space="preserve">
      <c r="A790" s="2" t="str">
        <v>01/05 ВС</v>
      </c>
      <c r="B790" s="2" t="str" xml:space="preserve">
        <v xml:space="preserve">19:00_x000d_
TKP</v>
      </c>
      <c r="C790" s="2" t="str">
        <v>ПОРТУГАЛИЯ ПОРТУГАЛИЯ</v>
      </c>
      <c r="D790" s="2" t="str">
        <v>Оуриенсе (Ж)-Атлетику (Ж)</v>
      </c>
      <c r="E790" s="3">
        <f>-</f>
      </c>
      <c r="F790" s="3">
        <f>-</f>
      </c>
      <c r="G790" s="3">
        <f>-</f>
      </c>
      <c r="H790" s="3">
        <f>=ROUND((1000/((1000/E790) + (1000/f790))),2)</f>
      </c>
      <c r="I790" s="3">
        <f>=ROUND((1000/((1000/E790) + (1000/G790))),2)</f>
      </c>
      <c r="J790" s="3">
        <f>=ROUND((1000/((1000/F790) + (1000/G790))),2)</f>
      </c>
    </row>
    <row r="791" xml:space="preserve">
      <c r="A791" s="2" t="str">
        <v>01/05 ВС</v>
      </c>
      <c r="B791" s="2" t="str" xml:space="preserve">
        <v xml:space="preserve">19:00_x000d_
TKP</v>
      </c>
      <c r="C791" s="2" t="str">
        <v>ПОРТУГАЛИЯ ПОРТУГАЛИЯ</v>
      </c>
      <c r="D791" s="2" t="str">
        <v>Эшторил (Ж)-Варзин (Ж)</v>
      </c>
      <c r="E791" s="3">
        <f>-</f>
      </c>
      <c r="F791" s="3">
        <f>-</f>
      </c>
      <c r="G791" s="3">
        <f>-</f>
      </c>
      <c r="H791" s="3">
        <f>=ROUND((1000/((1000/E791) + (1000/f791))),2)</f>
      </c>
      <c r="I791" s="3">
        <f>=ROUND((1000/((1000/E791) + (1000/G791))),2)</f>
      </c>
      <c r="J791" s="3">
        <f>=ROUND((1000/((1000/F791) + (1000/G791))),2)</f>
      </c>
    </row>
    <row r="792" xml:space="preserve">
      <c r="A792" s="2" t="str">
        <v>01/05 ВС</v>
      </c>
      <c r="B792" s="2" t="str" xml:space="preserve">
        <v xml:space="preserve">14:00_x000d_
TKP</v>
      </c>
      <c r="C792" s="2" t="str">
        <v>ПОРТУГАЛИЯ ПОРТУГАЛИЯ</v>
      </c>
      <c r="D792" s="2" t="str">
        <v>Маритиму (Ж)-Бенфика (Ж)</v>
      </c>
      <c r="E792" s="3">
        <f>-</f>
      </c>
      <c r="F792" s="3">
        <f>-</f>
      </c>
      <c r="G792" s="3">
        <f>-</f>
      </c>
      <c r="H792" s="3">
        <f>=ROUND((1000/((1000/E792) + (1000/f792))),2)</f>
      </c>
      <c r="I792" s="3">
        <f>=ROUND((1000/((1000/E792) + (1000/G792))),2)</f>
      </c>
      <c r="J792" s="3">
        <f>=ROUND((1000/((1000/F792) + (1000/G792))),2)</f>
      </c>
    </row>
    <row r="793" xml:space="preserve">
      <c r="A793" s="2" t="str">
        <v>01/05 ВС</v>
      </c>
      <c r="B793" s="2" t="str" xml:space="preserve">
        <v xml:space="preserve">16:00_x000d_
TKP</v>
      </c>
      <c r="C793" s="2" t="str">
        <v>ПОРТУГАЛИЯ ПОРТУГАЛИЯ</v>
      </c>
      <c r="D793" s="2" t="str">
        <v>Торринсе (Ж)-Брага (Ж)</v>
      </c>
      <c r="E793" s="3">
        <f>-</f>
      </c>
      <c r="F793" s="3">
        <f>-</f>
      </c>
      <c r="G793" s="3">
        <f>-</f>
      </c>
      <c r="H793" s="3">
        <f>=ROUND((1000/((1000/E793) + (1000/f793))),2)</f>
      </c>
      <c r="I793" s="3">
        <f>=ROUND((1000/((1000/E793) + (1000/G793))),2)</f>
      </c>
      <c r="J793" s="3">
        <f>=ROUND((1000/((1000/F793) + (1000/G793))),2)</f>
      </c>
    </row>
    <row r="794" xml:space="preserve">
      <c r="A794" s="2" t="str">
        <v>01/05 ВС</v>
      </c>
      <c r="B794" s="2" t="str" xml:space="preserve">
        <v xml:space="preserve">19:00_x000d_
TKP</v>
      </c>
      <c r="C794" s="2" t="str">
        <v>ПОРТУГАЛИЯ ПОРТУГАЛИЯ</v>
      </c>
      <c r="D794" s="2" t="str">
        <v>Албергария/Дурит (Ж)-Фамаликан (Ж)</v>
      </c>
      <c r="E794" s="3">
        <f>-</f>
      </c>
      <c r="F794" s="3">
        <f>-</f>
      </c>
      <c r="G794" s="3">
        <f>-</f>
      </c>
      <c r="H794" s="3">
        <f>=ROUND((1000/((1000/E794) + (1000/f794))),2)</f>
      </c>
      <c r="I794" s="3">
        <f>=ROUND((1000/((1000/E794) + (1000/G794))),2)</f>
      </c>
      <c r="J794" s="3">
        <f>=ROUND((1000/((1000/F794) + (1000/G794))),2)</f>
      </c>
    </row>
    <row r="795" xml:space="preserve">
      <c r="A795" s="2" t="str">
        <v>01/05 ВС</v>
      </c>
      <c r="B795" s="2" t="str" xml:space="preserve">
        <v xml:space="preserve">19:00_x000d_
TKP</v>
      </c>
      <c r="C795" s="2" t="str">
        <v>ПОРТУГАЛИЯ ПОРТУГАЛИЯ</v>
      </c>
      <c r="D795" s="2" t="str">
        <v>Спортинг (Ж)-Вилаверденше (Ж)</v>
      </c>
      <c r="E795" s="3">
        <f>-</f>
      </c>
      <c r="F795" s="3">
        <f>-</f>
      </c>
      <c r="G795" s="3">
        <f>-</f>
      </c>
      <c r="H795" s="3">
        <f>=ROUND((1000/((1000/E795) + (1000/f795))),2)</f>
      </c>
      <c r="I795" s="3">
        <f>=ROUND((1000/((1000/E795) + (1000/G795))),2)</f>
      </c>
      <c r="J795" s="3">
        <f>=ROUND((1000/((1000/F795) + (1000/G795))),2)</f>
      </c>
    </row>
    <row r="796" xml:space="preserve">
      <c r="A796" s="2" t="str">
        <v>01/05 ВС</v>
      </c>
      <c r="B796" s="2" t="str" xml:space="preserve">
        <v xml:space="preserve">15:45_x000d_
TKP</v>
      </c>
      <c r="C796" s="2" t="str">
        <v>РЕЮНЬОН РЕЮНЬОН</v>
      </c>
      <c r="D796" s="2" t="str">
        <v>Capricorne-Тампоннез</v>
      </c>
      <c r="E796" s="3">
        <f>-</f>
      </c>
      <c r="F796" s="3">
        <f>-</f>
      </c>
      <c r="G796" s="3">
        <f>-</f>
      </c>
      <c r="H796" s="3">
        <f>=ROUND((1000/((1000/E796) + (1000/f796))),2)</f>
      </c>
      <c r="I796" s="3">
        <f>=ROUND((1000/((1000/E796) + (1000/G796))),2)</f>
      </c>
      <c r="J796" s="3">
        <f>=ROUND((1000/((1000/F796) + (1000/G796))),2)</f>
      </c>
    </row>
    <row r="797" xml:space="preserve">
      <c r="A797" s="2" t="str">
        <v>01/05 ВС</v>
      </c>
      <c r="B797" s="2" t="str" xml:space="preserve">
        <v xml:space="preserve">15:45_x000d_
TKP</v>
      </c>
      <c r="C797" s="2" t="str">
        <v>РЕЮНЬОН РЕЮНЬОН</v>
      </c>
      <c r="D797" s="2" t="str">
        <v>Парфин-Сен-Полуаз</v>
      </c>
      <c r="E797" s="3">
        <f>-</f>
      </c>
      <c r="F797" s="3">
        <f>-</f>
      </c>
      <c r="G797" s="3">
        <f>-</f>
      </c>
      <c r="H797" s="3">
        <f>=ROUND((1000/((1000/E797) + (1000/f797))),2)</f>
      </c>
      <c r="I797" s="3">
        <f>=ROUND((1000/((1000/E797) + (1000/G797))),2)</f>
      </c>
      <c r="J797" s="3">
        <f>=ROUND((1000/((1000/F797) + (1000/G797))),2)</f>
      </c>
    </row>
    <row r="798" xml:space="preserve">
      <c r="A798" s="2" t="str">
        <v>01/05 ВС</v>
      </c>
      <c r="B798" s="2" t="str" xml:space="preserve">
        <v xml:space="preserve">15:45_x000d_
TKP</v>
      </c>
      <c r="C798" s="2" t="str">
        <v>РЕЮНЬОН РЕЮНЬОН</v>
      </c>
      <c r="D798" s="2" t="str">
        <v>Сен-Марьен-Эксельсиор</v>
      </c>
      <c r="E798" s="3">
        <f>-</f>
      </c>
      <c r="F798" s="3">
        <f>-</f>
      </c>
      <c r="G798" s="3">
        <f>-</f>
      </c>
      <c r="H798" s="3">
        <f>=ROUND((1000/((1000/E798) + (1000/f798))),2)</f>
      </c>
      <c r="I798" s="3">
        <f>=ROUND((1000/((1000/E798) + (1000/G798))),2)</f>
      </c>
      <c r="J798" s="3">
        <f>=ROUND((1000/((1000/F798) + (1000/G798))),2)</f>
      </c>
    </row>
    <row r="799" xml:space="preserve">
      <c r="A799" s="2" t="str">
        <v>01/05 ВС</v>
      </c>
      <c r="B799" s="2" t="str" xml:space="preserve">
        <v xml:space="preserve">15:45_x000d_
TKP</v>
      </c>
      <c r="C799" s="2" t="str">
        <v>РЕЮНЬОН РЕЮНЬОН</v>
      </c>
      <c r="D799" s="2" t="str">
        <v>Сент-Луис-Сен-Дени</v>
      </c>
      <c r="E799" s="3">
        <f>-</f>
      </c>
      <c r="F799" s="3">
        <f>-</f>
      </c>
      <c r="G799" s="3">
        <f>-</f>
      </c>
      <c r="H799" s="3">
        <f>=ROUND((1000/((1000/E799) + (1000/f799))),2)</f>
      </c>
      <c r="I799" s="3">
        <f>=ROUND((1000/((1000/E799) + (1000/G799))),2)</f>
      </c>
      <c r="J799" s="3">
        <f>=ROUND((1000/((1000/F799) + (1000/G799))),2)</f>
      </c>
    </row>
    <row r="800" xml:space="preserve">
      <c r="A800" s="2" t="str">
        <v>01/05 ВС</v>
      </c>
      <c r="B800" s="2" t="str" xml:space="preserve">
        <v xml:space="preserve">15:45_x000d_
TKP</v>
      </c>
      <c r="C800" s="2" t="str">
        <v>РЕЮНЬОН РЕЮНЬОН</v>
      </c>
      <c r="D800" s="2" t="str">
        <v>Труа Баззин-Марсунс</v>
      </c>
      <c r="E800" s="3">
        <f>-</f>
      </c>
      <c r="F800" s="3">
        <f>-</f>
      </c>
      <c r="G800" s="3">
        <f>-</f>
      </c>
      <c r="H800" s="3">
        <f>=ROUND((1000/((1000/E800) + (1000/f800))),2)</f>
      </c>
      <c r="I800" s="3">
        <f>=ROUND((1000/((1000/E800) + (1000/G800))),2)</f>
      </c>
      <c r="J800" s="3">
        <f>=ROUND((1000/((1000/F800) + (1000/G800))),2)</f>
      </c>
    </row>
    <row r="801" xml:space="preserve">
      <c r="A801" s="2" t="str">
        <v>01/05 ВС</v>
      </c>
      <c r="B801" s="2" t="str" xml:space="preserve">
        <v xml:space="preserve">15:45_x000d_
TKP</v>
      </c>
      <c r="C801" s="2" t="str">
        <v>РЕЮНЬОН РЕЮНЬОН</v>
      </c>
      <c r="D801" s="2" t="str">
        <v>Sainte Rose-Sainte-Suzanne</v>
      </c>
      <c r="E801" s="3">
        <f>-</f>
      </c>
      <c r="F801" s="3">
        <f>-</f>
      </c>
      <c r="G801" s="3">
        <f>-</f>
      </c>
      <c r="H801" s="3">
        <f>=ROUND((1000/((1000/E801) + (1000/f801))),2)</f>
      </c>
      <c r="I801" s="3">
        <f>=ROUND((1000/((1000/E801) + (1000/G801))),2)</f>
      </c>
      <c r="J801" s="3">
        <f>=ROUND((1000/((1000/F801) + (1000/G801))),2)</f>
      </c>
    </row>
    <row r="802">
      <c r="A802" s="2" t="str">
        <v>01/05 ВС</v>
      </c>
      <c r="B802" s="2" t="str">
        <v>17:00</v>
      </c>
      <c r="C802" s="2" t="str">
        <v>РОССИЯ РОССИЯ</v>
      </c>
      <c r="D802" s="2" t="str">
        <v>Динамо Москва 2-Красава</v>
      </c>
      <c r="E802" s="3">
        <f>-</f>
      </c>
      <c r="F802" s="3">
        <f>-</f>
      </c>
      <c r="G802" s="3">
        <f>-</f>
      </c>
      <c r="H802" s="3">
        <f>=ROUND((1000/((1000/E802) + (1000/f802))),2)</f>
      </c>
      <c r="I802" s="3">
        <f>=ROUND((1000/((1000/E802) + (1000/G802))),2)</f>
      </c>
      <c r="J802" s="3">
        <f>=ROUND((1000/((1000/F802) + (1000/G802))),2)</f>
      </c>
    </row>
    <row r="803">
      <c r="A803" s="2" t="str">
        <v>01/05 ВС</v>
      </c>
      <c r="B803" s="2" t="str">
        <v>12:30</v>
      </c>
      <c r="C803" s="2" t="str">
        <v>РОССИЯ РОССИЯ</v>
      </c>
      <c r="D803" s="2" t="str">
        <v>Рязань-ВДВ (Ж)-Локомотив Москва (Ж)</v>
      </c>
      <c r="E803" s="3">
        <f>-</f>
      </c>
      <c r="F803" s="3">
        <f>-</f>
      </c>
      <c r="G803" s="3">
        <f>-</f>
      </c>
      <c r="H803" s="3">
        <f>=ROUND((1000/((1000/E803) + (1000/f803))),2)</f>
      </c>
      <c r="I803" s="3">
        <f>=ROUND((1000/((1000/E803) + (1000/G803))),2)</f>
      </c>
      <c r="J803" s="3">
        <f>=ROUND((1000/((1000/F803) + (1000/G803))),2)</f>
      </c>
    </row>
    <row r="804">
      <c r="A804" s="2" t="str">
        <v>01/05 ВС</v>
      </c>
      <c r="B804" s="2" t="str">
        <v>14:00</v>
      </c>
      <c r="C804" s="2" t="str">
        <v>РОССИЯ РОССИЯ</v>
      </c>
      <c r="D804" s="2" t="str">
        <v>Чертаново (Ж)-ЦСКА (Ж)</v>
      </c>
      <c r="E804" s="3">
        <f>-</f>
      </c>
      <c r="F804" s="3">
        <f>-</f>
      </c>
      <c r="G804" s="3">
        <f>-</f>
      </c>
      <c r="H804" s="3">
        <f>=ROUND((1000/((1000/E804) + (1000/f804))),2)</f>
      </c>
      <c r="I804" s="3">
        <f>=ROUND((1000/((1000/E804) + (1000/G804))),2)</f>
      </c>
      <c r="J804" s="3">
        <f>=ROUND((1000/((1000/F804) + (1000/G804))),2)</f>
      </c>
    </row>
    <row r="805">
      <c r="A805" s="2" t="str">
        <v>01/05 ВС</v>
      </c>
      <c r="B805" s="2" t="str">
        <v>17:00</v>
      </c>
      <c r="C805" s="2" t="str">
        <v>РОССИЯ РОССИЯ</v>
      </c>
      <c r="D805" s="2" t="str">
        <v>Ростов (Ж)-Звезда-2005 (Ж)</v>
      </c>
      <c r="E805" s="3">
        <f>-</f>
      </c>
      <c r="F805" s="3">
        <f>-</f>
      </c>
      <c r="G805" s="3">
        <f>-</f>
      </c>
      <c r="H805" s="3">
        <f>=ROUND((1000/((1000/E805) + (1000/f805))),2)</f>
      </c>
      <c r="I805" s="3">
        <f>=ROUND((1000/((1000/E805) + (1000/G805))),2)</f>
      </c>
      <c r="J805" s="3">
        <f>=ROUND((1000/((1000/F805) + (1000/G805))),2)</f>
      </c>
    </row>
    <row r="806">
      <c r="A806" s="2" t="str">
        <v>01/05 ВС</v>
      </c>
      <c r="B806" s="2" t="str">
        <v>17:00</v>
      </c>
      <c r="C806" s="2" t="str">
        <v>РУАНДА РУАНДА</v>
      </c>
      <c r="D806" s="2" t="str">
        <v>АПР-Etoile de L'Est</v>
      </c>
      <c r="E806" s="3">
        <f>-</f>
      </c>
      <c r="F806" s="3">
        <f>-</f>
      </c>
      <c r="G806" s="3">
        <f>-</f>
      </c>
      <c r="H806" s="3">
        <f>=ROUND((1000/((1000/E806) + (1000/f806))),2)</f>
      </c>
      <c r="I806" s="3">
        <f>=ROUND((1000/((1000/E806) + (1000/G806))),2)</f>
      </c>
      <c r="J806" s="3">
        <f>=ROUND((1000/((1000/F806) + (1000/G806))),2)</f>
      </c>
    </row>
    <row r="807">
      <c r="A807" s="2" t="str">
        <v>01/05 ВС</v>
      </c>
      <c r="B807" s="2" t="str">
        <v>20:00</v>
      </c>
      <c r="C807" s="2" t="str">
        <v>РУМЫНИЯ РУМЫНИЯ</v>
      </c>
      <c r="D807" s="2" t="str">
        <v>У Крайова 1948-УТА Арад</v>
      </c>
      <c r="E807" s="3">
        <f>2.37</f>
      </c>
      <c r="F807" s="3">
        <f>2.80</f>
      </c>
      <c r="G807" s="3">
        <f>3.00</f>
      </c>
      <c r="H807" s="3">
        <f>=ROUND((1000/((1000/E807) + (1000/f807))),2)</f>
      </c>
      <c r="I807" s="3">
        <f>=ROUND((1000/((1000/E807) + (1000/G807))),2)</f>
      </c>
      <c r="J807" s="3">
        <f>=ROUND((1000/((1000/F807) + (1000/G807))),2)</f>
      </c>
    </row>
    <row r="808">
      <c r="A808" s="2" t="str">
        <v>01/05 ВС</v>
      </c>
      <c r="B808" s="2" t="str">
        <v>22:30</v>
      </c>
      <c r="C808" s="2" t="str">
        <v>РУМЫНИЯ РУМЫНИЯ</v>
      </c>
      <c r="D808" s="2" t="str">
        <v>ЧФР Клуж-Фарул</v>
      </c>
      <c r="E808" s="3">
        <f>1.53</f>
      </c>
      <c r="F808" s="3">
        <f>3.40</f>
      </c>
      <c r="G808" s="3">
        <f>6.00</f>
      </c>
      <c r="H808" s="3">
        <f>=ROUND((1000/((1000/E808) + (1000/f808))),2)</f>
      </c>
      <c r="I808" s="3">
        <f>=ROUND((1000/((1000/E808) + (1000/G808))),2)</f>
      </c>
      <c r="J808" s="3">
        <f>=ROUND((1000/((1000/F808) + (1000/G808))),2)</f>
      </c>
    </row>
    <row r="809">
      <c r="A809" s="2" t="str">
        <v>01/05 ВС</v>
      </c>
      <c r="B809" s="2" t="str">
        <v>15:30</v>
      </c>
      <c r="C809" s="2" t="str">
        <v>РУМЫНИЯ РУМЫНИЯ</v>
      </c>
      <c r="D809" s="2" t="str">
        <v>Петролул-Стяуа Бухарест</v>
      </c>
      <c r="E809" s="3">
        <f>-</f>
      </c>
      <c r="F809" s="3">
        <f>-</f>
      </c>
      <c r="G809" s="3">
        <f>-</f>
      </c>
      <c r="H809" s="3">
        <f>=ROUND((1000/((1000/E809) + (1000/f809))),2)</f>
      </c>
      <c r="I809" s="3">
        <f>=ROUND((1000/((1000/E809) + (1000/G809))),2)</f>
      </c>
      <c r="J809" s="3">
        <f>=ROUND((1000/((1000/F809) + (1000/G809))),2)</f>
      </c>
    </row>
    <row r="810">
      <c r="A810" s="2" t="str">
        <v>01/05 ВС</v>
      </c>
      <c r="B810" s="2" t="str">
        <v>12:00</v>
      </c>
      <c r="C810" s="2" t="str">
        <v>РУМЫНИЯ РУМЫНИЯ</v>
      </c>
      <c r="D810" s="2" t="str">
        <v>Политехника Тимишоара (Ж)-Вашаш Од (Ж)</v>
      </c>
      <c r="E810" s="3">
        <f>-</f>
      </c>
      <c r="F810" s="3">
        <f>-</f>
      </c>
      <c r="G810" s="3">
        <f>-</f>
      </c>
      <c r="H810" s="3">
        <f>=ROUND((1000/((1000/E810) + (1000/f810))),2)</f>
      </c>
      <c r="I810" s="3">
        <f>=ROUND((1000/((1000/E810) + (1000/G810))),2)</f>
      </c>
      <c r="J810" s="3">
        <f>=ROUND((1000/((1000/F810) + (1000/G810))),2)</f>
      </c>
    </row>
    <row r="811">
      <c r="A811" s="2" t="str">
        <v>01/05 ВС</v>
      </c>
      <c r="B811" s="2" t="str">
        <v>01:15</v>
      </c>
      <c r="C811" s="2" t="str">
        <v>САЛЬВАДОР САЛЬВАДОР</v>
      </c>
      <c r="D811" s="2" t="str">
        <v>Джокоро-Платенсе</v>
      </c>
      <c r="E811" s="3">
        <f>-</f>
      </c>
      <c r="F811" s="3">
        <f>-</f>
      </c>
      <c r="G811" s="3">
        <f>-</f>
      </c>
      <c r="H811" s="3">
        <f>=ROUND((1000/((1000/E811) + (1000/f811))),2)</f>
      </c>
      <c r="I811" s="3">
        <f>=ROUND((1000/((1000/E811) + (1000/G811))),2)</f>
      </c>
      <c r="J811" s="3">
        <f>=ROUND((1000/((1000/F811) + (1000/G811))),2)</f>
      </c>
    </row>
    <row r="812">
      <c r="A812" s="2" t="str">
        <v>01/05 ВС</v>
      </c>
      <c r="B812" s="2" t="str">
        <v>05:00</v>
      </c>
      <c r="C812" s="2" t="str">
        <v>САЛЬВАДОР САЛЬВАДОР</v>
      </c>
      <c r="D812" s="2" t="str">
        <v>Агила-11. Депортиво</v>
      </c>
      <c r="E812" s="3">
        <f>-</f>
      </c>
      <c r="F812" s="3">
        <f>-</f>
      </c>
      <c r="G812" s="3">
        <f>-</f>
      </c>
      <c r="H812" s="3">
        <f>=ROUND((1000/((1000/E812) + (1000/f812))),2)</f>
      </c>
      <c r="I812" s="3">
        <f>=ROUND((1000/((1000/E812) + (1000/G812))),2)</f>
      </c>
      <c r="J812" s="3">
        <f>=ROUND((1000/((1000/F812) + (1000/G812))),2)</f>
      </c>
    </row>
    <row r="813">
      <c r="A813" s="2" t="str">
        <v>01/05 ВС</v>
      </c>
      <c r="B813" s="2" t="str">
        <v>00:00</v>
      </c>
      <c r="C813" s="2" t="str">
        <v>СЕВЕРНАЯ И ЦЕНТРАЛЬНАЯ АМЕРИКА СЕВЕРНАЯ И ЦЕНТРАЛЬНАЯ АМЕРИКА</v>
      </c>
      <c r="D813" s="2" t="str">
        <v>Мексика U17 (Ж)-Гайана U17 (Ж)</v>
      </c>
      <c r="E813" s="3">
        <f>-</f>
      </c>
      <c r="F813" s="3">
        <f>-</f>
      </c>
      <c r="G813" s="3">
        <f>-</f>
      </c>
      <c r="H813" s="3">
        <f>=ROUND((1000/((1000/E813) + (1000/f813))),2)</f>
      </c>
      <c r="I813" s="3">
        <f>=ROUND((1000/((1000/E813) + (1000/G813))),2)</f>
      </c>
      <c r="J813" s="3">
        <f>=ROUND((1000/((1000/F813) + (1000/G813))),2)</f>
      </c>
    </row>
    <row r="814">
      <c r="A814" s="2" t="str">
        <v>01/05 ВС</v>
      </c>
      <c r="B814" s="2" t="str">
        <v>00:00</v>
      </c>
      <c r="C814" s="2" t="str">
        <v>СЕВЕРНАЯ И ЦЕНТРАЛЬНАЯ АМЕРИКА СЕВЕРНАЯ И ЦЕНТРАЛЬНАЯ АМЕРИКА</v>
      </c>
      <c r="D814" s="2" t="str">
        <v>США U17 (Ж)-Кюрасао U17 (Ж)</v>
      </c>
      <c r="E814" s="3">
        <f>-</f>
      </c>
      <c r="F814" s="3">
        <f>-</f>
      </c>
      <c r="G814" s="3">
        <f>-</f>
      </c>
      <c r="H814" s="3">
        <f>=ROUND((1000/((1000/E814) + (1000/f814))),2)</f>
      </c>
      <c r="I814" s="3">
        <f>=ROUND((1000/((1000/E814) + (1000/G814))),2)</f>
      </c>
      <c r="J814" s="3">
        <f>=ROUND((1000/((1000/F814) + (1000/G814))),2)</f>
      </c>
    </row>
    <row r="815">
      <c r="A815" s="2" t="str">
        <v>01/05 ВС</v>
      </c>
      <c r="B815" s="2" t="str">
        <v>03:00</v>
      </c>
      <c r="C815" s="2" t="str">
        <v>СЕВЕРНАЯ И ЦЕНТРАЛЬНАЯ АМЕРИКА СЕВЕРНАЯ И ЦЕНТРАЛЬНАЯ АМЕРИКА</v>
      </c>
      <c r="D815" s="2" t="str">
        <v>Коста-Рика U17 (Ж)-Никарагуа U17 (Ж)</v>
      </c>
      <c r="E815" s="3">
        <f>-</f>
      </c>
      <c r="F815" s="3">
        <f>-</f>
      </c>
      <c r="G815" s="3">
        <f>-</f>
      </c>
      <c r="H815" s="3">
        <f>=ROUND((1000/((1000/E815) + (1000/f815))),2)</f>
      </c>
      <c r="I815" s="3">
        <f>=ROUND((1000/((1000/E815) + (1000/G815))),2)</f>
      </c>
      <c r="J815" s="3">
        <f>=ROUND((1000/((1000/F815) + (1000/G815))),2)</f>
      </c>
    </row>
    <row r="816">
      <c r="A816" s="2" t="str">
        <v>01/05 ВС</v>
      </c>
      <c r="B816" s="2" t="str">
        <v>03:00</v>
      </c>
      <c r="C816" s="2" t="str">
        <v>СЕВЕРНАЯ И ЦЕНТРАЛЬНАЯ АМЕРИКА СЕВЕРНАЯ И ЦЕНТРАЛЬНАЯ АМЕРИКА</v>
      </c>
      <c r="D816" s="2" t="str">
        <v>Панама U17 (Ж)-Пуэрто-Рико U17 (Ж)</v>
      </c>
      <c r="E816" s="3">
        <f>-</f>
      </c>
      <c r="F816" s="3">
        <f>-</f>
      </c>
      <c r="G816" s="3">
        <f>-</f>
      </c>
      <c r="H816" s="3">
        <f>=ROUND((1000/((1000/E816) + (1000/f816))),2)</f>
      </c>
      <c r="I816" s="3">
        <f>=ROUND((1000/((1000/E816) + (1000/G816))),2)</f>
      </c>
      <c r="J816" s="3">
        <f>=ROUND((1000/((1000/F816) + (1000/G816))),2)</f>
      </c>
    </row>
    <row r="817">
      <c r="A817" s="2" t="str">
        <v>01/05 ВС</v>
      </c>
      <c r="B817" s="2" t="str">
        <v>19:00</v>
      </c>
      <c r="C817" s="2" t="str">
        <v>СЕВЕРНАЯ МАКЕДОНИЯ СЕВЕРНАЯ МАКЕДОНИЯ</v>
      </c>
      <c r="D817" s="2" t="str">
        <v>Борец-ФК Скопье</v>
      </c>
      <c r="E817" s="3">
        <f>-</f>
      </c>
      <c r="F817" s="3">
        <f>-</f>
      </c>
      <c r="G817" s="3">
        <f>-</f>
      </c>
      <c r="H817" s="3">
        <f>=ROUND((1000/((1000/E817) + (1000/f817))),2)</f>
      </c>
      <c r="I817" s="3">
        <f>=ROUND((1000/((1000/E817) + (1000/G817))),2)</f>
      </c>
      <c r="J817" s="3">
        <f>=ROUND((1000/((1000/F817) + (1000/G817))),2)</f>
      </c>
    </row>
    <row r="818">
      <c r="A818" s="2" t="str">
        <v>01/05 ВС</v>
      </c>
      <c r="B818" s="2" t="str">
        <v>19:00</v>
      </c>
      <c r="C818" s="2" t="str">
        <v>СЕВЕРНАЯ МАКЕДОНИЯ СЕВЕРНАЯ МАКЕДОНИЯ</v>
      </c>
      <c r="D818" s="2" t="str">
        <v>Македония ГП-Академия Пандев</v>
      </c>
      <c r="E818" s="3">
        <f>-</f>
      </c>
      <c r="F818" s="3">
        <f>-</f>
      </c>
      <c r="G818" s="3">
        <f>-</f>
      </c>
      <c r="H818" s="3">
        <f>=ROUND((1000/((1000/E818) + (1000/f818))),2)</f>
      </c>
      <c r="I818" s="3">
        <f>=ROUND((1000/((1000/E818) + (1000/G818))),2)</f>
      </c>
      <c r="J818" s="3">
        <f>=ROUND((1000/((1000/F818) + (1000/G818))),2)</f>
      </c>
    </row>
    <row r="819">
      <c r="A819" s="2" t="str">
        <v>01/05 ВС</v>
      </c>
      <c r="B819" s="2" t="str">
        <v>19:00</v>
      </c>
      <c r="C819" s="2" t="str">
        <v>СЕВЕРНАЯ МАКЕДОНИЯ СЕВЕРНАЯ МАКЕДОНИЯ</v>
      </c>
      <c r="D819" s="2" t="str">
        <v>Пелистер-Тиквес</v>
      </c>
      <c r="E819" s="3">
        <f>-</f>
      </c>
      <c r="F819" s="3">
        <f>-</f>
      </c>
      <c r="G819" s="3">
        <f>-</f>
      </c>
      <c r="H819" s="3">
        <f>=ROUND((1000/((1000/E819) + (1000/f819))),2)</f>
      </c>
      <c r="I819" s="3">
        <f>=ROUND((1000/((1000/E819) + (1000/G819))),2)</f>
      </c>
      <c r="J819" s="3">
        <f>=ROUND((1000/((1000/F819) + (1000/G819))),2)</f>
      </c>
    </row>
    <row r="820">
      <c r="A820" s="2" t="str">
        <v>01/05 ВС</v>
      </c>
      <c r="B820" s="2" t="str">
        <v>19:00</v>
      </c>
      <c r="C820" s="2" t="str">
        <v>СЕВЕРНАЯ МАКЕДОНИЯ СЕВЕРНАЯ МАКЕДОНИЯ</v>
      </c>
      <c r="D820" s="2" t="str">
        <v>Ренова-Струга</v>
      </c>
      <c r="E820" s="3">
        <f>-</f>
      </c>
      <c r="F820" s="3">
        <f>-</f>
      </c>
      <c r="G820" s="3">
        <f>-</f>
      </c>
      <c r="H820" s="3">
        <f>=ROUND((1000/((1000/E820) + (1000/f820))),2)</f>
      </c>
      <c r="I820" s="3">
        <f>=ROUND((1000/((1000/E820) + (1000/G820))),2)</f>
      </c>
      <c r="J820" s="3">
        <f>=ROUND((1000/((1000/F820) + (1000/G820))),2)</f>
      </c>
    </row>
    <row r="821">
      <c r="A821" s="2" t="str">
        <v>01/05 ВС</v>
      </c>
      <c r="B821" s="2" t="str">
        <v>19:00</v>
      </c>
      <c r="C821" s="2" t="str">
        <v>СЕРБИЯ СЕРБИЯ</v>
      </c>
      <c r="D821" s="2" t="str">
        <v>Войводина-Црвена Звезда</v>
      </c>
      <c r="E821" s="3">
        <f>-</f>
      </c>
      <c r="F821" s="3">
        <f>-</f>
      </c>
      <c r="G821" s="3">
        <f>-</f>
      </c>
      <c r="H821" s="3">
        <f>=ROUND((1000/((1000/E821) + (1000/f821))),2)</f>
      </c>
      <c r="I821" s="3">
        <f>=ROUND((1000/((1000/E821) + (1000/G821))),2)</f>
      </c>
      <c r="J821" s="3">
        <f>=ROUND((1000/((1000/F821) + (1000/G821))),2)</f>
      </c>
    </row>
    <row r="822">
      <c r="A822" s="2" t="str">
        <v>01/05 ВС</v>
      </c>
      <c r="B822" s="2" t="str">
        <v>20:30</v>
      </c>
      <c r="C822" s="2" t="str">
        <v>СЕРБИЯ СЕРБИЯ</v>
      </c>
      <c r="D822" s="2" t="str">
        <v>Бачка-Топола-Вождовац</v>
      </c>
      <c r="E822" s="3">
        <f>-</f>
      </c>
      <c r="F822" s="3">
        <f>-</f>
      </c>
      <c r="G822" s="3">
        <f>-</f>
      </c>
      <c r="H822" s="3">
        <f>=ROUND((1000/((1000/E822) + (1000/f822))),2)</f>
      </c>
      <c r="I822" s="3">
        <f>=ROUND((1000/((1000/E822) + (1000/G822))),2)</f>
      </c>
      <c r="J822" s="3">
        <f>=ROUND((1000/((1000/F822) + (1000/G822))),2)</f>
      </c>
    </row>
    <row r="823">
      <c r="A823" s="2" t="str">
        <v>01/05 ВС</v>
      </c>
      <c r="B823" s="2" t="str">
        <v>21:05</v>
      </c>
      <c r="C823" s="2" t="str">
        <v>СЕРБИЯ СЕРБИЯ</v>
      </c>
      <c r="D823" s="2" t="str">
        <v>Напредак-Партизан</v>
      </c>
      <c r="E823" s="3">
        <f>-</f>
      </c>
      <c r="F823" s="3">
        <f>-</f>
      </c>
      <c r="G823" s="3">
        <f>-</f>
      </c>
      <c r="H823" s="3">
        <f>=ROUND((1000/((1000/E823) + (1000/f823))),2)</f>
      </c>
      <c r="I823" s="3">
        <f>=ROUND((1000/((1000/E823) + (1000/G823))),2)</f>
      </c>
      <c r="J823" s="3">
        <f>=ROUND((1000/((1000/F823) + (1000/G823))),2)</f>
      </c>
    </row>
    <row r="824">
      <c r="A824" s="2" t="str">
        <v>01/05 ВС</v>
      </c>
      <c r="B824" s="2" t="str">
        <v>18:00</v>
      </c>
      <c r="C824" s="2" t="str">
        <v>СЕРБИЯ СЕРБИЯ</v>
      </c>
      <c r="D824" s="2" t="str">
        <v>Рад-Мачва</v>
      </c>
      <c r="E824" s="3">
        <f>-</f>
      </c>
      <c r="F824" s="3">
        <f>-</f>
      </c>
      <c r="G824" s="3">
        <f>-</f>
      </c>
      <c r="H824" s="3">
        <f>=ROUND((1000/((1000/E824) + (1000/f824))),2)</f>
      </c>
      <c r="I824" s="3">
        <f>=ROUND((1000/((1000/E824) + (1000/G824))),2)</f>
      </c>
      <c r="J824" s="3">
        <f>=ROUND((1000/((1000/F824) + (1000/G824))),2)</f>
      </c>
    </row>
    <row r="825">
      <c r="A825" s="2" t="str">
        <v>01/05 ВС</v>
      </c>
      <c r="B825" s="2" t="str">
        <v>18:00</v>
      </c>
      <c r="C825" s="2" t="str">
        <v>СЕРБИЯ СЕРБИЯ</v>
      </c>
      <c r="D825" s="2" t="str">
        <v>Тимок-Бачка</v>
      </c>
      <c r="E825" s="3">
        <f>-</f>
      </c>
      <c r="F825" s="3">
        <f>-</f>
      </c>
      <c r="G825" s="3">
        <f>-</f>
      </c>
      <c r="H825" s="3">
        <f>=ROUND((1000/((1000/E825) + (1000/f825))),2)</f>
      </c>
      <c r="I825" s="3">
        <f>=ROUND((1000/((1000/E825) + (1000/G825))),2)</f>
      </c>
      <c r="J825" s="3">
        <f>=ROUND((1000/((1000/F825) + (1000/G825))),2)</f>
      </c>
    </row>
    <row r="826" xml:space="preserve">
      <c r="A826" s="2" t="str">
        <v>01/05 ВС</v>
      </c>
      <c r="B826" s="2" t="str" xml:space="preserve">
        <v xml:space="preserve">18:30_x000d_
TKP</v>
      </c>
      <c r="C826" s="2" t="str">
        <v>СЕРБИЯ СЕРБИЯ</v>
      </c>
      <c r="D826" s="2" t="str">
        <v>Тиса Адорян-Бечей</v>
      </c>
      <c r="E826" s="3">
        <f>-</f>
      </c>
      <c r="F826" s="3">
        <f>-</f>
      </c>
      <c r="G826" s="3">
        <f>-</f>
      </c>
      <c r="H826" s="3">
        <f>=ROUND((1000/((1000/E826) + (1000/f826))),2)</f>
      </c>
      <c r="I826" s="3">
        <f>=ROUND((1000/((1000/E826) + (1000/G826))),2)</f>
      </c>
      <c r="J826" s="3">
        <f>=ROUND((1000/((1000/F826) + (1000/G826))),2)</f>
      </c>
    </row>
    <row r="827" xml:space="preserve">
      <c r="A827" s="2" t="str">
        <v>01/05 ВС</v>
      </c>
      <c r="B827" s="2" t="str" xml:space="preserve">
        <v xml:space="preserve">18:30_x000d_
TKP</v>
      </c>
      <c r="C827" s="2" t="str">
        <v>СЕРБИЯ СЕРБИЯ</v>
      </c>
      <c r="D827" s="2" t="str">
        <v>Радевац-Sloga 1940</v>
      </c>
      <c r="E827" s="3">
        <f>-</f>
      </c>
      <c r="F827" s="3">
        <f>-</f>
      </c>
      <c r="G827" s="3">
        <f>-</f>
      </c>
      <c r="H827" s="3">
        <f>=ROUND((1000/((1000/E827) + (1000/f827))),2)</f>
      </c>
      <c r="I827" s="3">
        <f>=ROUND((1000/((1000/E827) + (1000/G827))),2)</f>
      </c>
      <c r="J827" s="3">
        <f>=ROUND((1000/((1000/F827) + (1000/G827))),2)</f>
      </c>
    </row>
    <row r="828">
      <c r="A828" s="2" t="str">
        <v>01/05 ВС</v>
      </c>
      <c r="B828" s="2" t="str">
        <v>22:00</v>
      </c>
      <c r="C828" s="2" t="str">
        <v>СЛОВАКИЯ СЛОВАКИЯ</v>
      </c>
      <c r="D828" s="2" t="str">
        <v>Слован Братислава-Спартак Трнава</v>
      </c>
      <c r="E828" s="3">
        <f>-</f>
      </c>
      <c r="F828" s="3">
        <f>-</f>
      </c>
      <c r="G828" s="3">
        <f>-</f>
      </c>
      <c r="H828" s="3">
        <f>=ROUND((1000/((1000/E828) + (1000/f828))),2)</f>
      </c>
      <c r="I828" s="3">
        <f>=ROUND((1000/((1000/E828) + (1000/G828))),2)</f>
      </c>
      <c r="J828" s="3">
        <f>=ROUND((1000/((1000/F828) + (1000/G828))),2)</f>
      </c>
    </row>
    <row r="829">
      <c r="A829" s="2" t="str">
        <v>01/05 ВС</v>
      </c>
      <c r="B829" s="2" t="str">
        <v>12:30</v>
      </c>
      <c r="C829" s="2" t="str">
        <v>СЛОВАКИЯ СЛОВАКИЯ</v>
      </c>
      <c r="D829" s="2" t="str">
        <v>Саморин-Петржалка</v>
      </c>
      <c r="E829" s="3">
        <f>-</f>
      </c>
      <c r="F829" s="3">
        <f>-</f>
      </c>
      <c r="G829" s="3">
        <f>-</f>
      </c>
      <c r="H829" s="3">
        <f>=ROUND((1000/((1000/E829) + (1000/f829))),2)</f>
      </c>
      <c r="I829" s="3">
        <f>=ROUND((1000/((1000/E829) + (1000/G829))),2)</f>
      </c>
      <c r="J829" s="3">
        <f>=ROUND((1000/((1000/F829) + (1000/G829))),2)</f>
      </c>
    </row>
    <row r="830" xml:space="preserve">
      <c r="A830" s="2" t="str">
        <v>01/05 ВС</v>
      </c>
      <c r="B830" s="2" t="str" xml:space="preserve">
        <v xml:space="preserve">18:00_x000d_
TKP</v>
      </c>
      <c r="C830" s="2" t="str">
        <v>СЛОВАКИЯ СЛОВАКИЯ</v>
      </c>
      <c r="D830" s="2" t="str">
        <v>Нитра-Галанта</v>
      </c>
      <c r="E830" s="3">
        <f>-</f>
      </c>
      <c r="F830" s="3">
        <f>-</f>
      </c>
      <c r="G830" s="3">
        <f>-</f>
      </c>
      <c r="H830" s="3">
        <f>=ROUND((1000/((1000/E830) + (1000/f830))),2)</f>
      </c>
      <c r="I830" s="3">
        <f>=ROUND((1000/((1000/E830) + (1000/G830))),2)</f>
      </c>
      <c r="J830" s="3">
        <f>=ROUND((1000/((1000/F830) + (1000/G830))),2)</f>
      </c>
    </row>
    <row r="831" xml:space="preserve">
      <c r="A831" s="2" t="str">
        <v>01/05 ВС</v>
      </c>
      <c r="B831" s="2" t="str" xml:space="preserve">
        <v xml:space="preserve">18:30_x000d_
TKP</v>
      </c>
      <c r="C831" s="2" t="str">
        <v>СЛОВАКИЯ СЛОВАКИЯ</v>
      </c>
      <c r="D831" s="2" t="str">
        <v>Белуша-Кристал</v>
      </c>
      <c r="E831" s="3">
        <f>-</f>
      </c>
      <c r="F831" s="3">
        <f>-</f>
      </c>
      <c r="G831" s="3">
        <f>-</f>
      </c>
      <c r="H831" s="3">
        <f>=ROUND((1000/((1000/E831) + (1000/f831))),2)</f>
      </c>
      <c r="I831" s="3">
        <f>=ROUND((1000/((1000/E831) + (1000/G831))),2)</f>
      </c>
      <c r="J831" s="3">
        <f>=ROUND((1000/((1000/F831) + (1000/G831))),2)</f>
      </c>
    </row>
    <row r="832" xml:space="preserve">
      <c r="A832" s="2" t="str">
        <v>01/05 ВС</v>
      </c>
      <c r="B832" s="2" t="str" xml:space="preserve">
        <v xml:space="preserve">18:30_x000d_
TKP</v>
      </c>
      <c r="C832" s="2" t="str">
        <v>СЛОВАКИЯ СЛОВАКИЯ</v>
      </c>
      <c r="D832" s="2" t="str">
        <v>Младость Калша-Татран Прешов</v>
      </c>
      <c r="E832" s="3">
        <f>-</f>
      </c>
      <c r="F832" s="3">
        <f>-</f>
      </c>
      <c r="G832" s="3">
        <f>-</f>
      </c>
      <c r="H832" s="3">
        <f>=ROUND((1000/((1000/E832) + (1000/f832))),2)</f>
      </c>
      <c r="I832" s="3">
        <f>=ROUND((1000/((1000/E832) + (1000/G832))),2)</f>
      </c>
      <c r="J832" s="3">
        <f>=ROUND((1000/((1000/F832) + (1000/G832))),2)</f>
      </c>
    </row>
    <row r="833" xml:space="preserve">
      <c r="A833" s="2" t="str">
        <v>01/05 ВС</v>
      </c>
      <c r="B833" s="2" t="str" xml:space="preserve">
        <v xml:space="preserve">18:30_x000d_
TKP</v>
      </c>
      <c r="C833" s="2" t="str">
        <v>СЛОВАКИЯ СЛОВАКИЯ</v>
      </c>
      <c r="D833" s="2" t="str">
        <v>Снина-Кромпахи</v>
      </c>
      <c r="E833" s="3">
        <f>-</f>
      </c>
      <c r="F833" s="3">
        <f>-</f>
      </c>
      <c r="G833" s="3">
        <f>-</f>
      </c>
      <c r="H833" s="3">
        <f>=ROUND((1000/((1000/E833) + (1000/f833))),2)</f>
      </c>
      <c r="I833" s="3">
        <f>=ROUND((1000/((1000/E833) + (1000/G833))),2)</f>
      </c>
      <c r="J833" s="3">
        <f>=ROUND((1000/((1000/F833) + (1000/G833))),2)</f>
      </c>
    </row>
    <row r="834" xml:space="preserve">
      <c r="A834" s="2" t="str">
        <v>01/05 ВС</v>
      </c>
      <c r="B834" s="2" t="str" xml:space="preserve">
        <v xml:space="preserve">18:30_x000d_
TKP</v>
      </c>
      <c r="C834" s="2" t="str">
        <v>СЛОВАКИЯ СЛОВАКИЯ</v>
      </c>
      <c r="D834" s="2" t="str">
        <v>Спишске-Подградье-Собранце</v>
      </c>
      <c r="E834" s="3">
        <f>-</f>
      </c>
      <c r="F834" s="3">
        <f>-</f>
      </c>
      <c r="G834" s="3">
        <f>-</f>
      </c>
      <c r="H834" s="3">
        <f>=ROUND((1000/((1000/E834) + (1000/f834))),2)</f>
      </c>
      <c r="I834" s="3">
        <f>=ROUND((1000/((1000/E834) + (1000/G834))),2)</f>
      </c>
      <c r="J834" s="3">
        <f>=ROUND((1000/((1000/F834) + (1000/G834))),2)</f>
      </c>
    </row>
    <row r="835" xml:space="preserve">
      <c r="A835" s="2" t="str">
        <v>01/05 ВС</v>
      </c>
      <c r="B835" s="2" t="str" xml:space="preserve">
        <v xml:space="preserve">18:30_x000d_
TKP</v>
      </c>
      <c r="C835" s="2" t="str">
        <v>СЛОВАКИЯ СЛОВАКИЯ</v>
      </c>
      <c r="D835" s="2" t="str">
        <v>Стропков-Липаны</v>
      </c>
      <c r="E835" s="3">
        <f>-</f>
      </c>
      <c r="F835" s="3">
        <f>-</f>
      </c>
      <c r="G835" s="3">
        <f>-</f>
      </c>
      <c r="H835" s="3">
        <f>=ROUND((1000/((1000/E835) + (1000/f835))),2)</f>
      </c>
      <c r="I835" s="3">
        <f>=ROUND((1000/((1000/E835) + (1000/G835))),2)</f>
      </c>
      <c r="J835" s="3">
        <f>=ROUND((1000/((1000/F835) + (1000/G835))),2)</f>
      </c>
    </row>
    <row r="836" xml:space="preserve">
      <c r="A836" s="2" t="str">
        <v>01/05 ВС</v>
      </c>
      <c r="B836" s="2" t="str" xml:space="preserve">
        <v xml:space="preserve">12:30_x000d_
TKP</v>
      </c>
      <c r="C836" s="2" t="str">
        <v>СЛОВАКИЯ СЛОВАКИЯ</v>
      </c>
      <c r="D836" s="2" t="str">
        <v>Йеднота Банова-Оравске Веселе</v>
      </c>
      <c r="E836" s="3">
        <f>-</f>
      </c>
      <c r="F836" s="3">
        <f>-</f>
      </c>
      <c r="G836" s="3">
        <f>-</f>
      </c>
      <c r="H836" s="3">
        <f>=ROUND((1000/((1000/E836) + (1000/f836))),2)</f>
      </c>
      <c r="I836" s="3">
        <f>=ROUND((1000/((1000/E836) + (1000/G836))),2)</f>
      </c>
      <c r="J836" s="3">
        <f>=ROUND((1000/((1000/F836) + (1000/G836))),2)</f>
      </c>
    </row>
    <row r="837" xml:space="preserve">
      <c r="A837" s="2" t="str">
        <v>01/05 ВС</v>
      </c>
      <c r="B837" s="2" t="str" xml:space="preserve">
        <v xml:space="preserve">18:30_x000d_
TKP</v>
      </c>
      <c r="C837" s="2" t="str">
        <v>СЛОВАКИЯ СЛОВАКИЯ</v>
      </c>
      <c r="D837" s="2" t="str">
        <v>Калиново-МСК Мартин</v>
      </c>
      <c r="E837" s="3">
        <f>-</f>
      </c>
      <c r="F837" s="3">
        <f>-</f>
      </c>
      <c r="G837" s="3">
        <f>-</f>
      </c>
      <c r="H837" s="3">
        <f>=ROUND((1000/((1000/E837) + (1000/f837))),2)</f>
      </c>
      <c r="I837" s="3">
        <f>=ROUND((1000/((1000/E837) + (1000/G837))),2)</f>
      </c>
      <c r="J837" s="3">
        <f>=ROUND((1000/((1000/F837) + (1000/G837))),2)</f>
      </c>
    </row>
    <row r="838" xml:space="preserve">
      <c r="A838" s="2" t="str">
        <v>01/05 ВС</v>
      </c>
      <c r="B838" s="2" t="str" xml:space="preserve">
        <v xml:space="preserve">18:30_x000d_
TKP</v>
      </c>
      <c r="C838" s="2" t="str">
        <v>СЛОВАКИЯ СЛОВАКИЯ</v>
      </c>
      <c r="D838" s="2" t="str">
        <v>Ковачова-Подконице</v>
      </c>
      <c r="E838" s="3">
        <f>-</f>
      </c>
      <c r="F838" s="3">
        <f>-</f>
      </c>
      <c r="G838" s="3">
        <f>-</f>
      </c>
      <c r="H838" s="3">
        <f>=ROUND((1000/((1000/E838) + (1000/f838))),2)</f>
      </c>
      <c r="I838" s="3">
        <f>=ROUND((1000/((1000/E838) + (1000/G838))),2)</f>
      </c>
      <c r="J838" s="3">
        <f>=ROUND((1000/((1000/F838) + (1000/G838))),2)</f>
      </c>
    </row>
    <row r="839" xml:space="preserve">
      <c r="A839" s="2" t="str">
        <v>01/05 ВС</v>
      </c>
      <c r="B839" s="2" t="str" xml:space="preserve">
        <v xml:space="preserve">18:30_x000d_
TKP</v>
      </c>
      <c r="C839" s="2" t="str">
        <v>СЛОВАКИЯ СЛОВАКИЯ</v>
      </c>
      <c r="D839" s="2" t="str">
        <v>Красно-Ракитовце</v>
      </c>
      <c r="E839" s="3">
        <f>-</f>
      </c>
      <c r="F839" s="3">
        <f>-</f>
      </c>
      <c r="G839" s="3">
        <f>-</f>
      </c>
      <c r="H839" s="3">
        <f>=ROUND((1000/((1000/E839) + (1000/f839))),2)</f>
      </c>
      <c r="I839" s="3">
        <f>=ROUND((1000/((1000/E839) + (1000/G839))),2)</f>
      </c>
      <c r="J839" s="3">
        <f>=ROUND((1000/((1000/F839) + (1000/G839))),2)</f>
      </c>
    </row>
    <row r="840" xml:space="preserve">
      <c r="A840" s="2" t="str">
        <v>01/05 ВС</v>
      </c>
      <c r="B840" s="2" t="str" xml:space="preserve">
        <v xml:space="preserve">18:30_x000d_
TKP</v>
      </c>
      <c r="C840" s="2" t="str">
        <v>СЛОВАКИЯ СЛОВАКИЯ</v>
      </c>
      <c r="D840" s="2" t="str">
        <v>Филаково-Римавска Собота</v>
      </c>
      <c r="E840" s="3">
        <f>-</f>
      </c>
      <c r="F840" s="3">
        <f>-</f>
      </c>
      <c r="G840" s="3">
        <f>-</f>
      </c>
      <c r="H840" s="3">
        <f>=ROUND((1000/((1000/E840) + (1000/f840))),2)</f>
      </c>
      <c r="I840" s="3">
        <f>=ROUND((1000/((1000/E840) + (1000/G840))),2)</f>
      </c>
      <c r="J840" s="3">
        <f>=ROUND((1000/((1000/F840) + (1000/G840))),2)</f>
      </c>
    </row>
    <row r="841" xml:space="preserve">
      <c r="A841" s="2" t="str">
        <v>01/05 ВС</v>
      </c>
      <c r="B841" s="2" t="str" xml:space="preserve">
        <v xml:space="preserve">19:00_x000d_
TKP</v>
      </c>
      <c r="C841" s="2" t="str">
        <v>СЛОВАКИЯ СЛОВАКИЯ</v>
      </c>
      <c r="D841" s="2" t="str">
        <v>Девинска Нова Веш-Вракуна Братислава</v>
      </c>
      <c r="E841" s="3">
        <f>-</f>
      </c>
      <c r="F841" s="3">
        <f>-</f>
      </c>
      <c r="G841" s="3">
        <f>-</f>
      </c>
      <c r="H841" s="3">
        <f>=ROUND((1000/((1000/E841) + (1000/f841))),2)</f>
      </c>
      <c r="I841" s="3">
        <f>=ROUND((1000/((1000/E841) + (1000/G841))),2)</f>
      </c>
      <c r="J841" s="3">
        <f>=ROUND((1000/((1000/F841) + (1000/G841))),2)</f>
      </c>
    </row>
    <row r="842" xml:space="preserve">
      <c r="A842" s="2" t="str">
        <v>01/05 ВС</v>
      </c>
      <c r="B842" s="2" t="str" xml:space="preserve">
        <v xml:space="preserve">19:00_x000d_
TKP</v>
      </c>
      <c r="C842" s="2" t="str">
        <v>СЛОВАКИЯ СЛОВАКИЯ</v>
      </c>
      <c r="D842" s="2" t="str">
        <v>Калинково-Рача</v>
      </c>
      <c r="E842" s="3">
        <f>-</f>
      </c>
      <c r="F842" s="3">
        <f>-</f>
      </c>
      <c r="G842" s="3">
        <f>-</f>
      </c>
      <c r="H842" s="3">
        <f>=ROUND((1000/((1000/E842) + (1000/f842))),2)</f>
      </c>
      <c r="I842" s="3">
        <f>=ROUND((1000/((1000/E842) + (1000/G842))),2)</f>
      </c>
      <c r="J842" s="3">
        <f>=ROUND((1000/((1000/F842) + (1000/G842))),2)</f>
      </c>
    </row>
    <row r="843" xml:space="preserve">
      <c r="A843" s="2" t="str">
        <v>01/05 ВС</v>
      </c>
      <c r="B843" s="2" t="str" xml:space="preserve">
        <v xml:space="preserve">19:00_x000d_
TKP</v>
      </c>
      <c r="C843" s="2" t="str">
        <v>СЛОВАКИЯ СЛОВАКИЯ</v>
      </c>
      <c r="D843" s="2" t="str">
        <v>Малацки-Русовце</v>
      </c>
      <c r="E843" s="3">
        <f>-</f>
      </c>
      <c r="F843" s="3">
        <f>-</f>
      </c>
      <c r="G843" s="3">
        <f>-</f>
      </c>
      <c r="H843" s="3">
        <f>=ROUND((1000/((1000/E843) + (1000/f843))),2)</f>
      </c>
      <c r="I843" s="3">
        <f>=ROUND((1000/((1000/E843) + (1000/G843))),2)</f>
      </c>
      <c r="J843" s="3">
        <f>=ROUND((1000/((1000/F843) + (1000/G843))),2)</f>
      </c>
    </row>
    <row r="844" xml:space="preserve">
      <c r="A844" s="2" t="str">
        <v>01/05 ВС</v>
      </c>
      <c r="B844" s="2" t="str" xml:space="preserve">
        <v xml:space="preserve">19:00_x000d_
TKP</v>
      </c>
      <c r="C844" s="2" t="str">
        <v>СЛОВАКИЯ СЛОВАКИЯ</v>
      </c>
      <c r="D844" s="2" t="str">
        <v>Нова Дединка-Пезинок</v>
      </c>
      <c r="E844" s="3">
        <f>-</f>
      </c>
      <c r="F844" s="3">
        <f>-</f>
      </c>
      <c r="G844" s="3">
        <f>-</f>
      </c>
      <c r="H844" s="3">
        <f>=ROUND((1000/((1000/E844) + (1000/f844))),2)</f>
      </c>
      <c r="I844" s="3">
        <f>=ROUND((1000/((1000/E844) + (1000/G844))),2)</f>
      </c>
      <c r="J844" s="3">
        <f>=ROUND((1000/((1000/F844) + (1000/G844))),2)</f>
      </c>
    </row>
    <row r="845" xml:space="preserve">
      <c r="A845" s="2" t="str">
        <v>01/05 ВС</v>
      </c>
      <c r="B845" s="2" t="str" xml:space="preserve">
        <v xml:space="preserve">19:00_x000d_
TKP</v>
      </c>
      <c r="C845" s="2" t="str">
        <v>СЛОВАКИЯ СЛОВАКИЯ</v>
      </c>
      <c r="D845" s="2" t="str">
        <v>Ровинка-Бернолаково</v>
      </c>
      <c r="E845" s="3">
        <f>-</f>
      </c>
      <c r="F845" s="3">
        <f>-</f>
      </c>
      <c r="G845" s="3">
        <f>-</f>
      </c>
      <c r="H845" s="3">
        <f>=ROUND((1000/((1000/E845) + (1000/f845))),2)</f>
      </c>
      <c r="I845" s="3">
        <f>=ROUND((1000/((1000/E845) + (1000/G845))),2)</f>
      </c>
      <c r="J845" s="3">
        <f>=ROUND((1000/((1000/F845) + (1000/G845))),2)</f>
      </c>
    </row>
    <row r="846" xml:space="preserve">
      <c r="A846" s="2" t="str">
        <v>01/05 ВС</v>
      </c>
      <c r="B846" s="2" t="str" xml:space="preserve">
        <v xml:space="preserve">19:00_x000d_
TKP</v>
      </c>
      <c r="C846" s="2" t="str">
        <v>СЛОВАКИЯ СЛОВАКИЯ</v>
      </c>
      <c r="D846" s="2" t="str">
        <v>Томашов-Слован Мост</v>
      </c>
      <c r="E846" s="3">
        <f>-</f>
      </c>
      <c r="F846" s="3">
        <f>-</f>
      </c>
      <c r="G846" s="3">
        <f>-</f>
      </c>
      <c r="H846" s="3">
        <f>=ROUND((1000/((1000/E846) + (1000/f846))),2)</f>
      </c>
      <c r="I846" s="3">
        <f>=ROUND((1000/((1000/E846) + (1000/G846))),2)</f>
      </c>
      <c r="J846" s="3">
        <f>=ROUND((1000/((1000/F846) + (1000/G846))),2)</f>
      </c>
    </row>
    <row r="847">
      <c r="A847" s="2" t="str">
        <v>01/05 ВС</v>
      </c>
      <c r="B847" s="2" t="str">
        <v>19:30</v>
      </c>
      <c r="C847" s="2" t="str">
        <v>СЛОВЕНИЯ СЛОВЕНИЯ</v>
      </c>
      <c r="D847" s="2" t="str">
        <v>Домжале-Алуминий</v>
      </c>
      <c r="E847" s="3">
        <f>-</f>
      </c>
      <c r="F847" s="3">
        <f>-</f>
      </c>
      <c r="G847" s="3">
        <f>-</f>
      </c>
      <c r="H847" s="3">
        <f>=ROUND((1000/((1000/E847) + (1000/f847))),2)</f>
      </c>
      <c r="I847" s="3">
        <f>=ROUND((1000/((1000/E847) + (1000/G847))),2)</f>
      </c>
      <c r="J847" s="3">
        <f>=ROUND((1000/((1000/F847) + (1000/G847))),2)</f>
      </c>
    </row>
    <row r="848">
      <c r="A848" s="2" t="str">
        <v>01/05 ВС</v>
      </c>
      <c r="B848" s="2" t="str">
        <v>22:15</v>
      </c>
      <c r="C848" s="2" t="str">
        <v>СЛОВЕНИЯ СЛОВЕНИЯ</v>
      </c>
      <c r="D848" s="2" t="str">
        <v>Олимпия Любляна-Браво</v>
      </c>
      <c r="E848" s="3">
        <f>-</f>
      </c>
      <c r="F848" s="3">
        <f>-</f>
      </c>
      <c r="G848" s="3">
        <f>-</f>
      </c>
      <c r="H848" s="3">
        <f>=ROUND((1000/((1000/E848) + (1000/f848))),2)</f>
      </c>
      <c r="I848" s="3">
        <f>=ROUND((1000/((1000/E848) + (1000/G848))),2)</f>
      </c>
      <c r="J848" s="3">
        <f>=ROUND((1000/((1000/F848) + (1000/G848))),2)</f>
      </c>
    </row>
    <row r="849" xml:space="preserve">
      <c r="A849" s="2" t="str">
        <v>01/05 ВС</v>
      </c>
      <c r="B849" s="2" t="str" xml:space="preserve">
        <v xml:space="preserve">13:00_x000d_
TKP</v>
      </c>
      <c r="C849" s="2" t="str">
        <v>СЛОВЕНИЯ СЛОВЕНИЯ</v>
      </c>
      <c r="D849" s="2" t="str">
        <v>Птуй (Ж)-Приморье (Ж)</v>
      </c>
      <c r="E849" s="3">
        <f>-</f>
      </c>
      <c r="F849" s="3">
        <f>-</f>
      </c>
      <c r="G849" s="3">
        <f>-</f>
      </c>
      <c r="H849" s="3">
        <f>=ROUND((1000/((1000/E849) + (1000/f849))),2)</f>
      </c>
      <c r="I849" s="3">
        <f>=ROUND((1000/((1000/E849) + (1000/G849))),2)</f>
      </c>
      <c r="J849" s="3">
        <f>=ROUND((1000/((1000/F849) + (1000/G849))),2)</f>
      </c>
    </row>
    <row r="850" xml:space="preserve">
      <c r="A850" s="2" t="str">
        <v>01/05 ВС</v>
      </c>
      <c r="B850" s="2" t="str" xml:space="preserve">
        <v xml:space="preserve">13:00_x000d_
TKP</v>
      </c>
      <c r="C850" s="2" t="str">
        <v>СЛОВЕНИЯ СЛОВЕНИЯ</v>
      </c>
      <c r="D850" s="2" t="str">
        <v>Церкле (Ж)-Помурье (Ж)</v>
      </c>
      <c r="E850" s="3">
        <f>-</f>
      </c>
      <c r="F850" s="3">
        <f>-</f>
      </c>
      <c r="G850" s="3">
        <f>-</f>
      </c>
      <c r="H850" s="3">
        <f>=ROUND((1000/((1000/E850) + (1000/f850))),2)</f>
      </c>
      <c r="I850" s="3">
        <f>=ROUND((1000/((1000/E850) + (1000/G850))),2)</f>
      </c>
      <c r="J850" s="3">
        <f>=ROUND((1000/((1000/F850) + (1000/G850))),2)</f>
      </c>
    </row>
    <row r="851" xml:space="preserve">
      <c r="A851" s="2" t="str">
        <v>01/05 ВС</v>
      </c>
      <c r="B851" s="2" t="str" xml:space="preserve">
        <v xml:space="preserve">19:00_x000d_
TKP</v>
      </c>
      <c r="C851" s="2" t="str">
        <v>СЛОВЕНИЯ СЛОВЕНИЯ</v>
      </c>
      <c r="D851" s="2" t="str">
        <v>ЗНК Любляна (Ж)-Крим (Ж)</v>
      </c>
      <c r="E851" s="3">
        <f>-</f>
      </c>
      <c r="F851" s="3">
        <f>-</f>
      </c>
      <c r="G851" s="3">
        <f>-</f>
      </c>
      <c r="H851" s="3">
        <f>=ROUND((1000/((1000/E851) + (1000/f851))),2)</f>
      </c>
      <c r="I851" s="3">
        <f>=ROUND((1000/((1000/E851) + (1000/G851))),2)</f>
      </c>
      <c r="J851" s="3">
        <f>=ROUND((1000/((1000/F851) + (1000/G851))),2)</f>
      </c>
    </row>
    <row r="852" xml:space="preserve">
      <c r="A852" s="2" t="str">
        <v>01/05 ВС</v>
      </c>
      <c r="B852" s="2" t="str" xml:space="preserve">
        <v xml:space="preserve">19:00_x000d_
TKP</v>
      </c>
      <c r="C852" s="2" t="str">
        <v>СЛОВЕНИЯ СЛОВЕНИЯ</v>
      </c>
      <c r="D852" s="2" t="str">
        <v>Радомлье (Ж)-Олимпия Любляна (Ж)</v>
      </c>
      <c r="E852" s="3">
        <f>-</f>
      </c>
      <c r="F852" s="3">
        <f>-</f>
      </c>
      <c r="G852" s="3">
        <f>-</f>
      </c>
      <c r="H852" s="3">
        <f>=ROUND((1000/((1000/E852) + (1000/f852))),2)</f>
      </c>
      <c r="I852" s="3">
        <f>=ROUND((1000/((1000/E852) + (1000/G852))),2)</f>
      </c>
      <c r="J852" s="3">
        <f>=ROUND((1000/((1000/F852) + (1000/G852))),2)</f>
      </c>
    </row>
    <row r="853">
      <c r="A853" s="2" t="str">
        <v>01/05 ВС</v>
      </c>
      <c r="B853" s="2" t="str">
        <v>00:00</v>
      </c>
      <c r="C853" s="2" t="str">
        <v>США США</v>
      </c>
      <c r="D853" s="2" t="str">
        <v>Монреаль-Атланта</v>
      </c>
      <c r="E853" s="3">
        <f>2.10</f>
      </c>
      <c r="F853" s="3">
        <f>3.50</f>
      </c>
      <c r="G853" s="3">
        <f>3.40</f>
      </c>
      <c r="H853" s="3">
        <f>=ROUND((1000/((1000/E853) + (1000/f853))),2)</f>
      </c>
      <c r="I853" s="3">
        <f>=ROUND((1000/((1000/E853) + (1000/G853))),2)</f>
      </c>
      <c r="J853" s="3">
        <f>=ROUND((1000/((1000/F853) + (1000/G853))),2)</f>
      </c>
    </row>
    <row r="854">
      <c r="A854" s="2" t="str">
        <v>01/05 ВС</v>
      </c>
      <c r="B854" s="2" t="str">
        <v>03:30</v>
      </c>
      <c r="C854" s="2" t="str">
        <v>США США</v>
      </c>
      <c r="D854" s="2" t="str">
        <v>Коламбус Крю-ДС Юнайтед</v>
      </c>
      <c r="E854" s="3">
        <f>1.66</f>
      </c>
      <c r="F854" s="3">
        <f>3.75</f>
      </c>
      <c r="G854" s="3">
        <f>5.50</f>
      </c>
      <c r="H854" s="3">
        <f>=ROUND((1000/((1000/E854) + (1000/f854))),2)</f>
      </c>
      <c r="I854" s="3">
        <f>=ROUND((1000/((1000/E854) + (1000/G854))),2)</f>
      </c>
      <c r="J854" s="3">
        <f>=ROUND((1000/((1000/F854) + (1000/G854))),2)</f>
      </c>
    </row>
    <row r="855">
      <c r="A855" s="2" t="str">
        <v>01/05 ВС</v>
      </c>
      <c r="B855" s="2" t="str">
        <v>03:30</v>
      </c>
      <c r="C855" s="2" t="str">
        <v>США США</v>
      </c>
      <c r="D855" s="2" t="str">
        <v>Нью-Инглэнд Революшн-Интер Майами</v>
      </c>
      <c r="E855" s="3">
        <f>1.50</f>
      </c>
      <c r="F855" s="3">
        <f>4.50</f>
      </c>
      <c r="G855" s="3">
        <f>6.50</f>
      </c>
      <c r="H855" s="3">
        <f>=ROUND((1000/((1000/E855) + (1000/f855))),2)</f>
      </c>
      <c r="I855" s="3">
        <f>=ROUND((1000/((1000/E855) + (1000/G855))),2)</f>
      </c>
      <c r="J855" s="3">
        <f>=ROUND((1000/((1000/F855) + (1000/G855))),2)</f>
      </c>
    </row>
    <row r="856">
      <c r="A856" s="2" t="str">
        <v>01/05 ВС</v>
      </c>
      <c r="B856" s="2" t="str">
        <v>03:30</v>
      </c>
      <c r="C856" s="2" t="str">
        <v>США США</v>
      </c>
      <c r="D856" s="2" t="str">
        <v>Орландо Сити-Шарлотт</v>
      </c>
      <c r="E856" s="3">
        <f>1.72</f>
      </c>
      <c r="F856" s="3">
        <f>3.60</f>
      </c>
      <c r="G856" s="3">
        <f>5.00</f>
      </c>
      <c r="H856" s="3">
        <f>=ROUND((1000/((1000/E856) + (1000/f856))),2)</f>
      </c>
      <c r="I856" s="3">
        <f>=ROUND((1000/((1000/E856) + (1000/G856))),2)</f>
      </c>
      <c r="J856" s="3">
        <f>=ROUND((1000/((1000/F856) + (1000/G856))),2)</f>
      </c>
    </row>
    <row r="857">
      <c r="A857" s="2" t="str">
        <v>01/05 ВС</v>
      </c>
      <c r="B857" s="2" t="str">
        <v>04:00</v>
      </c>
      <c r="C857" s="2" t="str">
        <v>США США</v>
      </c>
      <c r="D857" s="2" t="str">
        <v>Чикаго Файр-Нью-Йорк Ред Буллс</v>
      </c>
      <c r="E857" s="3">
        <f>3.00</f>
      </c>
      <c r="F857" s="3">
        <f>3.10</f>
      </c>
      <c r="G857" s="3">
        <f>2.50</f>
      </c>
      <c r="H857" s="3">
        <f>=ROUND((1000/((1000/E857) + (1000/f857))),2)</f>
      </c>
      <c r="I857" s="3">
        <f>=ROUND((1000/((1000/E857) + (1000/G857))),2)</f>
      </c>
      <c r="J857" s="3">
        <f>=ROUND((1000/((1000/F857) + (1000/G857))),2)</f>
      </c>
    </row>
    <row r="858">
      <c r="A858" s="2" t="str">
        <v>01/05 ВС</v>
      </c>
      <c r="B858" s="2" t="str">
        <v>04:30</v>
      </c>
      <c r="C858" s="2" t="str">
        <v>США США</v>
      </c>
      <c r="D858" s="2" t="str">
        <v>Спортинг Канзас-Сити-Даллас</v>
      </c>
      <c r="E858" s="3">
        <f>2.25</f>
      </c>
      <c r="F858" s="3">
        <f>3.25</f>
      </c>
      <c r="G858" s="3">
        <f>3.30</f>
      </c>
      <c r="H858" s="3">
        <f>=ROUND((1000/((1000/E858) + (1000/f858))),2)</f>
      </c>
      <c r="I858" s="3">
        <f>=ROUND((1000/((1000/E858) + (1000/G858))),2)</f>
      </c>
      <c r="J858" s="3">
        <f>=ROUND((1000/((1000/F858) + (1000/G858))),2)</f>
      </c>
    </row>
    <row r="859">
      <c r="A859" s="2" t="str">
        <v>01/05 ВС</v>
      </c>
      <c r="B859" s="2" t="str">
        <v>05:00</v>
      </c>
      <c r="C859" s="2" t="str">
        <v>США США</v>
      </c>
      <c r="D859" s="2" t="str">
        <v>Колорадо Рэпидс-Портленд Тимберс</v>
      </c>
      <c r="E859" s="3">
        <f>1.75</f>
      </c>
      <c r="F859" s="3">
        <f>3.75</f>
      </c>
      <c r="G859" s="3">
        <f>4.60</f>
      </c>
      <c r="H859" s="3">
        <f>=ROUND((1000/((1000/E859) + (1000/f859))),2)</f>
      </c>
      <c r="I859" s="3">
        <f>=ROUND((1000/((1000/E859) + (1000/G859))),2)</f>
      </c>
      <c r="J859" s="3">
        <f>=ROUND((1000/((1000/F859) + (1000/G859))),2)</f>
      </c>
    </row>
    <row r="860">
      <c r="A860" s="2" t="str">
        <v>01/05 ВС</v>
      </c>
      <c r="B860" s="2" t="str">
        <v>21:00</v>
      </c>
      <c r="C860" s="2" t="str">
        <v>США США</v>
      </c>
      <c r="D860" s="2" t="str">
        <v>Нью-Йорк Сити-Сан-Хосе Эртквейкс</v>
      </c>
      <c r="E860" s="3">
        <f>1.36</f>
      </c>
      <c r="F860" s="3">
        <f>5.00</f>
      </c>
      <c r="G860" s="3">
        <f>8.00</f>
      </c>
      <c r="H860" s="3">
        <f>=ROUND((1000/((1000/E860) + (1000/f860))),2)</f>
      </c>
      <c r="I860" s="3">
        <f>=ROUND((1000/((1000/E860) + (1000/G860))),2)</f>
      </c>
      <c r="J860" s="3">
        <f>=ROUND((1000/((1000/F860) + (1000/G860))),2)</f>
      </c>
    </row>
    <row r="861">
      <c r="A861" s="2" t="str">
        <v>01/05 ВС</v>
      </c>
      <c r="B861" s="2" t="str">
        <v>00:00</v>
      </c>
      <c r="C861" s="2" t="str">
        <v>США США</v>
      </c>
      <c r="D861" s="2" t="str">
        <v>Детройт-Нью-Йорк 2</v>
      </c>
      <c r="E861" s="3">
        <f>-</f>
      </c>
      <c r="F861" s="3">
        <f>-</f>
      </c>
      <c r="G861" s="3">
        <f>-</f>
      </c>
      <c r="H861" s="3">
        <f>=ROUND((1000/((1000/E861) + (1000/f861))),2)</f>
      </c>
      <c r="I861" s="3">
        <f>=ROUND((1000/((1000/E861) + (1000/G861))),2)</f>
      </c>
      <c r="J861" s="3">
        <f>=ROUND((1000/((1000/F861) + (1000/G861))),2)</f>
      </c>
    </row>
    <row r="862">
      <c r="A862" s="2" t="str">
        <v>01/05 ВС</v>
      </c>
      <c r="B862" s="2" t="str">
        <v>02:00</v>
      </c>
      <c r="C862" s="2" t="str">
        <v>США США</v>
      </c>
      <c r="D862" s="2" t="str">
        <v>Лаудон-Эль-Пасо Локомотив</v>
      </c>
      <c r="E862" s="3">
        <f>-</f>
      </c>
      <c r="F862" s="3">
        <f>-</f>
      </c>
      <c r="G862" s="3">
        <f>-</f>
      </c>
      <c r="H862" s="3">
        <f>=ROUND((1000/((1000/E862) + (1000/f862))),2)</f>
      </c>
      <c r="I862" s="3">
        <f>=ROUND((1000/((1000/E862) + (1000/G862))),2)</f>
      </c>
      <c r="J862" s="3">
        <f>=ROUND((1000/((1000/F862) + (1000/G862))),2)</f>
      </c>
    </row>
    <row r="863">
      <c r="A863" s="2" t="str">
        <v>01/05 ВС</v>
      </c>
      <c r="B863" s="2" t="str">
        <v>03:00</v>
      </c>
      <c r="C863" s="2" t="str">
        <v>США США</v>
      </c>
      <c r="D863" s="2" t="str">
        <v>Инди Элевен-Хартфорд Атлетик</v>
      </c>
      <c r="E863" s="3">
        <f>-</f>
      </c>
      <c r="F863" s="3">
        <f>-</f>
      </c>
      <c r="G863" s="3">
        <f>-</f>
      </c>
      <c r="H863" s="3">
        <f>=ROUND((1000/((1000/E863) + (1000/f863))),2)</f>
      </c>
      <c r="I863" s="3">
        <f>=ROUND((1000/((1000/E863) + (1000/G863))),2)</f>
      </c>
      <c r="J863" s="3">
        <f>=ROUND((1000/((1000/F863) + (1000/G863))),2)</f>
      </c>
    </row>
    <row r="864">
      <c r="A864" s="2" t="str">
        <v>01/05 ВС</v>
      </c>
      <c r="B864" s="2" t="str">
        <v>03:30</v>
      </c>
      <c r="C864" s="2" t="str">
        <v>США США</v>
      </c>
      <c r="D864" s="2" t="str">
        <v>Луисвилл Сити-Питтсбург</v>
      </c>
      <c r="E864" s="3">
        <f>-</f>
      </c>
      <c r="F864" s="3">
        <f>-</f>
      </c>
      <c r="G864" s="3">
        <f>-</f>
      </c>
      <c r="H864" s="3">
        <f>=ROUND((1000/((1000/E864) + (1000/f864))),2)</f>
      </c>
      <c r="I864" s="3">
        <f>=ROUND((1000/((1000/E864) + (1000/G864))),2)</f>
      </c>
      <c r="J864" s="3">
        <f>=ROUND((1000/((1000/F864) + (1000/G864))),2)</f>
      </c>
    </row>
    <row r="865">
      <c r="A865" s="2" t="str">
        <v>01/05 ВС</v>
      </c>
      <c r="B865" s="2" t="str">
        <v>03:30</v>
      </c>
      <c r="C865" s="2" t="str">
        <v>США США</v>
      </c>
      <c r="D865" s="2" t="str">
        <v>Тампа Бэй-Сан-Диего Лойял</v>
      </c>
      <c r="E865" s="3">
        <f>-</f>
      </c>
      <c r="F865" s="3">
        <f>-</f>
      </c>
      <c r="G865" s="3">
        <f>-</f>
      </c>
      <c r="H865" s="3">
        <f>=ROUND((1000/((1000/E865) + (1000/f865))),2)</f>
      </c>
      <c r="I865" s="3">
        <f>=ROUND((1000/((1000/E865) + (1000/G865))),2)</f>
      </c>
      <c r="J865" s="3">
        <f>=ROUND((1000/((1000/F865) + (1000/G865))),2)</f>
      </c>
    </row>
    <row r="866">
      <c r="A866" s="2" t="str">
        <v>01/05 ВС</v>
      </c>
      <c r="B866" s="2" t="str">
        <v>04:00</v>
      </c>
      <c r="C866" s="2" t="str">
        <v>США США</v>
      </c>
      <c r="D866" s="2" t="str">
        <v>Мемфис-Майами</v>
      </c>
      <c r="E866" s="3">
        <f>-</f>
      </c>
      <c r="F866" s="3">
        <f>-</f>
      </c>
      <c r="G866" s="3">
        <f>-</f>
      </c>
      <c r="H866" s="3">
        <f>=ROUND((1000/((1000/E866) + (1000/f866))),2)</f>
      </c>
      <c r="I866" s="3">
        <f>=ROUND((1000/((1000/E866) + (1000/G866))),2)</f>
      </c>
      <c r="J866" s="3">
        <f>=ROUND((1000/((1000/F866) + (1000/G866))),2)</f>
      </c>
    </row>
    <row r="867">
      <c r="A867" s="2" t="str">
        <v>01/05 ВС</v>
      </c>
      <c r="B867" s="2" t="str">
        <v>04:30</v>
      </c>
      <c r="C867" s="2" t="str">
        <v>США США</v>
      </c>
      <c r="D867" s="2" t="str">
        <v>Рио-Гранде-Оранж Каунти СК</v>
      </c>
      <c r="E867" s="3">
        <f>-</f>
      </c>
      <c r="F867" s="3">
        <f>-</f>
      </c>
      <c r="G867" s="3">
        <f>-</f>
      </c>
      <c r="H867" s="3">
        <f>=ROUND((1000/((1000/E867) + (1000/f867))),2)</f>
      </c>
      <c r="I867" s="3">
        <f>=ROUND((1000/((1000/E867) + (1000/G867))),2)</f>
      </c>
      <c r="J867" s="3">
        <f>=ROUND((1000/((1000/F867) + (1000/G867))),2)</f>
      </c>
    </row>
    <row r="868">
      <c r="A868" s="2" t="str">
        <v>01/05 ВС</v>
      </c>
      <c r="B868" s="2" t="str">
        <v>04:30</v>
      </c>
      <c r="C868" s="2" t="str">
        <v>США США</v>
      </c>
      <c r="D868" s="2" t="str">
        <v>Сан-Антонио-Монтерей Бэй</v>
      </c>
      <c r="E868" s="3">
        <f>-</f>
      </c>
      <c r="F868" s="3">
        <f>-</f>
      </c>
      <c r="G868" s="3">
        <f>-</f>
      </c>
      <c r="H868" s="3">
        <f>=ROUND((1000/((1000/E868) + (1000/f868))),2)</f>
      </c>
      <c r="I868" s="3">
        <f>=ROUND((1000/((1000/E868) + (1000/G868))),2)</f>
      </c>
      <c r="J868" s="3">
        <f>=ROUND((1000/((1000/F868) + (1000/G868))),2)</f>
      </c>
    </row>
    <row r="869">
      <c r="A869" s="2" t="str">
        <v>01/05 ВС</v>
      </c>
      <c r="B869" s="2" t="str">
        <v>06:00</v>
      </c>
      <c r="C869" s="2" t="str">
        <v>США США</v>
      </c>
      <c r="D869" s="2" t="str">
        <v>Окленд Рутс-Колорадо Спрингс</v>
      </c>
      <c r="E869" s="3">
        <f>-</f>
      </c>
      <c r="F869" s="3">
        <f>-</f>
      </c>
      <c r="G869" s="3">
        <f>-</f>
      </c>
      <c r="H869" s="3">
        <f>=ROUND((1000/((1000/E869) + (1000/f869))),2)</f>
      </c>
      <c r="I869" s="3">
        <f>=ROUND((1000/((1000/E869) + (1000/G869))),2)</f>
      </c>
      <c r="J869" s="3">
        <f>=ROUND((1000/((1000/F869) + (1000/G869))),2)</f>
      </c>
    </row>
    <row r="870">
      <c r="A870" s="2" t="str">
        <v>01/05 ВС</v>
      </c>
      <c r="B870" s="2" t="str">
        <v>06:00</v>
      </c>
      <c r="C870" s="2" t="str">
        <v>США США</v>
      </c>
      <c r="D870" s="2" t="str">
        <v>Сакраменто Репаблик-Лас-Вегас Лайтс</v>
      </c>
      <c r="E870" s="3">
        <f>-</f>
      </c>
      <c r="F870" s="3">
        <f>-</f>
      </c>
      <c r="G870" s="3">
        <f>-</f>
      </c>
      <c r="H870" s="3">
        <f>=ROUND((1000/((1000/E870) + (1000/f870))),2)</f>
      </c>
      <c r="I870" s="3">
        <f>=ROUND((1000/((1000/E870) + (1000/G870))),2)</f>
      </c>
      <c r="J870" s="3">
        <f>=ROUND((1000/((1000/F870) + (1000/G870))),2)</f>
      </c>
    </row>
    <row r="871">
      <c r="A871" s="2" t="str">
        <v>01/05 ВС</v>
      </c>
      <c r="B871" s="2" t="str">
        <v>00:00</v>
      </c>
      <c r="C871" s="2" t="str">
        <v>США США</v>
      </c>
      <c r="D871" s="2" t="str">
        <v>Филадельфия II-Нью-Йорк Сити II</v>
      </c>
      <c r="E871" s="3">
        <f>-</f>
      </c>
      <c r="F871" s="3">
        <f>-</f>
      </c>
      <c r="G871" s="3">
        <f>-</f>
      </c>
      <c r="H871" s="3">
        <f>=ROUND((1000/((1000/E871) + (1000/f871))),2)</f>
      </c>
      <c r="I871" s="3">
        <f>=ROUND((1000/((1000/E871) + (1000/G871))),2)</f>
      </c>
      <c r="J871" s="3">
        <f>=ROUND((1000/((1000/F871) + (1000/G871))),2)</f>
      </c>
    </row>
    <row r="872">
      <c r="A872" s="2" t="str">
        <v>01/05 ВС</v>
      </c>
      <c r="B872" s="2" t="str">
        <v>02:00</v>
      </c>
      <c r="C872" s="2" t="str">
        <v>США США</v>
      </c>
      <c r="D872" s="2" t="str">
        <v>Ванкувер 2-Сан-Хосе Эртквейкс II</v>
      </c>
      <c r="E872" s="3">
        <f>-</f>
      </c>
      <c r="F872" s="3">
        <f>-</f>
      </c>
      <c r="G872" s="3">
        <f>-</f>
      </c>
      <c r="H872" s="3">
        <f>=ROUND((1000/((1000/E872) + (1000/f872))),2)</f>
      </c>
      <c r="I872" s="3">
        <f>=ROUND((1000/((1000/E872) + (1000/G872))),2)</f>
      </c>
      <c r="J872" s="3">
        <f>=ROUND((1000/((1000/F872) + (1000/G872))),2)</f>
      </c>
    </row>
    <row r="873">
      <c r="A873" s="2" t="str">
        <v>01/05 ВС</v>
      </c>
      <c r="B873" s="2" t="str">
        <v>02:00</v>
      </c>
      <c r="C873" s="2" t="str">
        <v>США США</v>
      </c>
      <c r="D873" s="2" t="str">
        <v>Торонто II-Цинциннати 2</v>
      </c>
      <c r="E873" s="3">
        <f>-</f>
      </c>
      <c r="F873" s="3">
        <f>-</f>
      </c>
      <c r="G873" s="3">
        <f>-</f>
      </c>
      <c r="H873" s="3">
        <f>=ROUND((1000/((1000/E873) + (1000/f873))),2)</f>
      </c>
      <c r="I873" s="3">
        <f>=ROUND((1000/((1000/E873) + (1000/G873))),2)</f>
      </c>
      <c r="J873" s="3">
        <f>=ROUND((1000/((1000/F873) + (1000/G873))),2)</f>
      </c>
    </row>
    <row r="874">
      <c r="A874" s="2" t="str">
        <v>01/05 ВС</v>
      </c>
      <c r="B874" s="2" t="str">
        <v>21:00</v>
      </c>
      <c r="C874" s="2" t="str">
        <v>США США</v>
      </c>
      <c r="D874" s="2" t="str">
        <v>Нью-Инглэнд Революшн II-Интер Майами II</v>
      </c>
      <c r="E874" s="3">
        <f>-</f>
      </c>
      <c r="F874" s="3">
        <f>-</f>
      </c>
      <c r="G874" s="3">
        <f>-</f>
      </c>
      <c r="H874" s="3">
        <f>=ROUND((1000/((1000/E874) + (1000/f874))),2)</f>
      </c>
      <c r="I874" s="3">
        <f>=ROUND((1000/((1000/E874) + (1000/G874))),2)</f>
      </c>
      <c r="J874" s="3">
        <f>=ROUND((1000/((1000/F874) + (1000/G874))),2)</f>
      </c>
    </row>
    <row r="875">
      <c r="A875" s="2" t="str">
        <v>01/05 ВС</v>
      </c>
      <c r="B875" s="2" t="str">
        <v>22:00</v>
      </c>
      <c r="C875" s="2" t="str">
        <v>США США</v>
      </c>
      <c r="D875" s="2" t="str">
        <v>Колорадо Рэпидс 2-Портленд Тимберс 2</v>
      </c>
      <c r="E875" s="3">
        <f>-</f>
      </c>
      <c r="F875" s="3">
        <f>-</f>
      </c>
      <c r="G875" s="3">
        <f>-</f>
      </c>
      <c r="H875" s="3">
        <f>=ROUND((1000/((1000/E875) + (1000/f875))),2)</f>
      </c>
      <c r="I875" s="3">
        <f>=ROUND((1000/((1000/E875) + (1000/G875))),2)</f>
      </c>
      <c r="J875" s="3">
        <f>=ROUND((1000/((1000/F875) + (1000/G875))),2)</f>
      </c>
    </row>
    <row r="876">
      <c r="A876" s="2" t="str">
        <v>01/05 ВС</v>
      </c>
      <c r="B876" s="2" t="str">
        <v>02:00</v>
      </c>
      <c r="C876" s="2" t="str">
        <v>США США</v>
      </c>
      <c r="D876" s="2" t="str">
        <v>Форвард Мэдисон-Централ Валли Фуэго</v>
      </c>
      <c r="E876" s="3">
        <f>-</f>
      </c>
      <c r="F876" s="3">
        <f>-</f>
      </c>
      <c r="G876" s="3">
        <f>-</f>
      </c>
      <c r="H876" s="3">
        <f>=ROUND((1000/((1000/E876) + (1000/f876))),2)</f>
      </c>
      <c r="I876" s="3">
        <f>=ROUND((1000/((1000/E876) + (1000/G876))),2)</f>
      </c>
      <c r="J876" s="3">
        <f>=ROUND((1000/((1000/F876) + (1000/G876))),2)</f>
      </c>
    </row>
    <row r="877">
      <c r="A877" s="2" t="str">
        <v>01/05 ВС</v>
      </c>
      <c r="B877" s="2" t="str">
        <v>03:00</v>
      </c>
      <c r="C877" s="2" t="str">
        <v>США США</v>
      </c>
      <c r="D877" s="2" t="str">
        <v>Северная Каролина-Нортерн Колорадо</v>
      </c>
      <c r="E877" s="3">
        <f>-</f>
      </c>
      <c r="F877" s="3">
        <f>-</f>
      </c>
      <c r="G877" s="3">
        <f>-</f>
      </c>
      <c r="H877" s="3">
        <f>=ROUND((1000/((1000/E877) + (1000/f877))),2)</f>
      </c>
      <c r="I877" s="3">
        <f>=ROUND((1000/((1000/E877) + (1000/G877))),2)</f>
      </c>
      <c r="J877" s="3">
        <f>=ROUND((1000/((1000/F877) + (1000/G877))),2)</f>
      </c>
    </row>
    <row r="878">
      <c r="A878" s="2" t="str">
        <v>01/05 ВС</v>
      </c>
      <c r="B878" s="2" t="str">
        <v>03:00</v>
      </c>
      <c r="C878" s="2" t="str">
        <v>США США</v>
      </c>
      <c r="D878" s="2" t="str">
        <v>Шарлотт Индепенд.-Юнион Омаха</v>
      </c>
      <c r="E878" s="3">
        <f>-</f>
      </c>
      <c r="F878" s="3">
        <f>-</f>
      </c>
      <c r="G878" s="3">
        <f>-</f>
      </c>
      <c r="H878" s="3">
        <f>=ROUND((1000/((1000/E878) + (1000/f878))),2)</f>
      </c>
      <c r="I878" s="3">
        <f>=ROUND((1000/((1000/E878) + (1000/G878))),2)</f>
      </c>
      <c r="J878" s="3">
        <f>=ROUND((1000/((1000/F878) + (1000/G878))),2)</f>
      </c>
    </row>
    <row r="879">
      <c r="A879" s="2" t="str">
        <v>01/05 ВС</v>
      </c>
      <c r="B879" s="2" t="str">
        <v>06:00</v>
      </c>
      <c r="C879" s="2" t="str">
        <v>США США</v>
      </c>
      <c r="D879" s="2" t="str">
        <v>Тусон-Тормента</v>
      </c>
      <c r="E879" s="3">
        <f>-</f>
      </c>
      <c r="F879" s="3">
        <f>-</f>
      </c>
      <c r="G879" s="3">
        <f>-</f>
      </c>
      <c r="H879" s="3">
        <f>=ROUND((1000/((1000/E879) + (1000/f879))),2)</f>
      </c>
      <c r="I879" s="3">
        <f>=ROUND((1000/((1000/E879) + (1000/G879))),2)</f>
      </c>
      <c r="J879" s="3">
        <f>=ROUND((1000/((1000/F879) + (1000/G879))),2)</f>
      </c>
    </row>
    <row r="880">
      <c r="A880" s="2" t="str">
        <v>01/05 ВС</v>
      </c>
      <c r="B880" s="2" t="str">
        <v>03:00</v>
      </c>
      <c r="C880" s="2" t="str">
        <v>США США</v>
      </c>
      <c r="D880" s="2" t="str">
        <v>Мэрилэнд Бобкэтс-Мичиган Старз</v>
      </c>
      <c r="E880" s="3">
        <f>-</f>
      </c>
      <c r="F880" s="3">
        <f>-</f>
      </c>
      <c r="G880" s="3">
        <f>-</f>
      </c>
      <c r="H880" s="3">
        <f>=ROUND((1000/((1000/E880) + (1000/f880))),2)</f>
      </c>
      <c r="I880" s="3">
        <f>=ROUND((1000/((1000/E880) + (1000/G880))),2)</f>
      </c>
      <c r="J880" s="3">
        <f>=ROUND((1000/((1000/F880) + (1000/G880))),2)</f>
      </c>
    </row>
    <row r="881">
      <c r="A881" s="2" t="str">
        <v>01/05 ВС</v>
      </c>
      <c r="B881" s="2" t="str">
        <v>03:30</v>
      </c>
      <c r="C881" s="2" t="str">
        <v>США США</v>
      </c>
      <c r="D881" s="2" t="str">
        <v>Чаттануго-Flower City</v>
      </c>
      <c r="E881" s="3">
        <f>-</f>
      </c>
      <c r="F881" s="3">
        <f>-</f>
      </c>
      <c r="G881" s="3">
        <f>-</f>
      </c>
      <c r="H881" s="3">
        <f>=ROUND((1000/((1000/E881) + (1000/f881))),2)</f>
      </c>
      <c r="I881" s="3">
        <f>=ROUND((1000/((1000/E881) + (1000/G881))),2)</f>
      </c>
      <c r="J881" s="3">
        <f>=ROUND((1000/((1000/F881) + (1000/G881))),2)</f>
      </c>
    </row>
    <row r="882">
      <c r="A882" s="2" t="str">
        <v>01/05 ВС</v>
      </c>
      <c r="B882" s="2" t="str">
        <v>06:00</v>
      </c>
      <c r="C882" s="2" t="str">
        <v>США США</v>
      </c>
      <c r="D882" s="2" t="str">
        <v>Bay Cities-Albion San Diego</v>
      </c>
      <c r="E882" s="3">
        <f>-</f>
      </c>
      <c r="F882" s="3">
        <f>-</f>
      </c>
      <c r="G882" s="3">
        <f>-</f>
      </c>
      <c r="H882" s="3">
        <f>=ROUND((1000/((1000/E882) + (1000/f882))),2)</f>
      </c>
      <c r="I882" s="3">
        <f>=ROUND((1000/((1000/E882) + (1000/G882))),2)</f>
      </c>
      <c r="J882" s="3">
        <f>=ROUND((1000/((1000/F882) + (1000/G882))),2)</f>
      </c>
    </row>
    <row r="883">
      <c r="A883" s="2" t="str">
        <v>01/05 ВС</v>
      </c>
      <c r="B883" s="2" t="str">
        <v>02:00</v>
      </c>
      <c r="C883" s="2" t="str">
        <v>США США</v>
      </c>
      <c r="D883" s="2" t="str">
        <v>Портленд (Ж)-Kansas City Current (Ж)</v>
      </c>
      <c r="E883" s="3">
        <f>-</f>
      </c>
      <c r="F883" s="3">
        <f>-</f>
      </c>
      <c r="G883" s="3">
        <f>-</f>
      </c>
      <c r="H883" s="3">
        <f>=ROUND((1000/((1000/E883) + (1000/f883))),2)</f>
      </c>
      <c r="I883" s="3">
        <f>=ROUND((1000/((1000/E883) + (1000/G883))),2)</f>
      </c>
      <c r="J883" s="3">
        <f>=ROUND((1000/((1000/F883) + (1000/G883))),2)</f>
      </c>
    </row>
    <row r="884">
      <c r="A884" s="2" t="str">
        <v>01/05 ВС</v>
      </c>
      <c r="B884" s="2" t="str">
        <v>04:00</v>
      </c>
      <c r="C884" s="2" t="str">
        <v>США США</v>
      </c>
      <c r="D884" s="2" t="str">
        <v>Чикаго (Ж)-Рэйсинг Луисвилл (Ж)</v>
      </c>
      <c r="E884" s="3">
        <f>-</f>
      </c>
      <c r="F884" s="3">
        <f>-</f>
      </c>
      <c r="G884" s="3">
        <f>-</f>
      </c>
      <c r="H884" s="3">
        <f>=ROUND((1000/((1000/E884) + (1000/f884))),2)</f>
      </c>
      <c r="I884" s="3">
        <f>=ROUND((1000/((1000/E884) + (1000/G884))),2)</f>
      </c>
      <c r="J884" s="3">
        <f>=ROUND((1000/((1000/F884) + (1000/G884))),2)</f>
      </c>
    </row>
    <row r="885" xml:space="preserve">
      <c r="A885" s="2" t="str">
        <v>01/05 ВС</v>
      </c>
      <c r="B885" s="2" t="str" xml:space="preserve">
        <v xml:space="preserve">20:15_x000d_
TKP</v>
      </c>
      <c r="C885" s="2" t="str">
        <v>СЬЕРРА-ЛЕОНЕ СЬЕРРА-ЛЕОНЕ</v>
      </c>
      <c r="D885" s="2" t="str">
        <v>Даймонд Старз-Портс Ауторити</v>
      </c>
      <c r="E885" s="3">
        <f>-</f>
      </c>
      <c r="F885" s="3">
        <f>-</f>
      </c>
      <c r="G885" s="3">
        <f>-</f>
      </c>
      <c r="H885" s="3">
        <f>=ROUND((1000/((1000/E885) + (1000/f885))),2)</f>
      </c>
      <c r="I885" s="3">
        <f>=ROUND((1000/((1000/E885) + (1000/G885))),2)</f>
      </c>
      <c r="J885" s="3">
        <f>=ROUND((1000/((1000/F885) + (1000/G885))),2)</f>
      </c>
    </row>
    <row r="886" xml:space="preserve">
      <c r="A886" s="2" t="str">
        <v>01/05 ВС</v>
      </c>
      <c r="B886" s="2" t="str" xml:space="preserve">
        <v xml:space="preserve">20:15_x000d_
TKP</v>
      </c>
      <c r="C886" s="2" t="str">
        <v>СЬЕРРА-ЛЕОНЕ СЬЕРРА-ЛЕОНЕ</v>
      </c>
      <c r="D886" s="2" t="str">
        <v>Ист энд Тайгерс-Фритаун Сити</v>
      </c>
      <c r="E886" s="3">
        <f>-</f>
      </c>
      <c r="F886" s="3">
        <f>-</f>
      </c>
      <c r="G886" s="3">
        <f>-</f>
      </c>
      <c r="H886" s="3">
        <f>=ROUND((1000/((1000/E886) + (1000/f886))),2)</f>
      </c>
      <c r="I886" s="3">
        <f>=ROUND((1000/((1000/E886) + (1000/G886))),2)</f>
      </c>
      <c r="J886" s="3">
        <f>=ROUND((1000/((1000/F886) + (1000/G886))),2)</f>
      </c>
    </row>
    <row r="887">
      <c r="A887" s="2" t="str">
        <v>01/05 ВС</v>
      </c>
      <c r="B887" s="2" t="str">
        <v>16:00</v>
      </c>
      <c r="C887" s="2" t="str">
        <v>ТАДЖИКИСТАН ТАДЖИКИСТАН</v>
      </c>
      <c r="D887" s="2" t="str">
        <v>Равшан Зафарабад-Истаравшан</v>
      </c>
      <c r="E887" s="3">
        <f>-</f>
      </c>
      <c r="F887" s="3">
        <f>-</f>
      </c>
      <c r="G887" s="3">
        <f>-</f>
      </c>
      <c r="H887" s="3">
        <f>=ROUND((1000/((1000/E887) + (1000/f887))),2)</f>
      </c>
      <c r="I887" s="3">
        <f>=ROUND((1000/((1000/E887) + (1000/G887))),2)</f>
      </c>
      <c r="J887" s="3">
        <f>=ROUND((1000/((1000/F887) + (1000/G887))),2)</f>
      </c>
    </row>
    <row r="888">
      <c r="A888" s="2" t="str">
        <v>01/05 ВС</v>
      </c>
      <c r="B888" s="2" t="str">
        <v>16:00</v>
      </c>
      <c r="C888" s="2" t="str">
        <v>ТАДЖИКИСТАН ТАДЖИКИСТАН</v>
      </c>
      <c r="D888" s="2" t="str">
        <v>Регар-ТадАЗ-Эсхата</v>
      </c>
      <c r="E888" s="3">
        <f>-</f>
      </c>
      <c r="F888" s="3">
        <f>-</f>
      </c>
      <c r="G888" s="3">
        <f>-</f>
      </c>
      <c r="H888" s="3">
        <f>=ROUND((1000/((1000/E888) + (1000/f888))),2)</f>
      </c>
      <c r="I888" s="3">
        <f>=ROUND((1000/((1000/E888) + (1000/G888))),2)</f>
      </c>
      <c r="J888" s="3">
        <f>=ROUND((1000/((1000/F888) + (1000/G888))),2)</f>
      </c>
    </row>
    <row r="889">
      <c r="A889" s="2" t="str">
        <v>01/05 ВС</v>
      </c>
      <c r="B889" s="2" t="str">
        <v>15:00</v>
      </c>
      <c r="C889" s="2" t="str">
        <v>ТАИЛАНД ТАИЛАНД</v>
      </c>
      <c r="D889" s="2" t="str">
        <v>Бангкок Юнайтед-Супханбури</v>
      </c>
      <c r="E889" s="3">
        <f>-</f>
      </c>
      <c r="F889" s="3">
        <f>-</f>
      </c>
      <c r="G889" s="3">
        <f>-</f>
      </c>
      <c r="H889" s="3">
        <f>=ROUND((1000/((1000/E889) + (1000/f889))),2)</f>
      </c>
      <c r="I889" s="3">
        <f>=ROUND((1000/((1000/E889) + (1000/G889))),2)</f>
      </c>
      <c r="J889" s="3">
        <f>=ROUND((1000/((1000/F889) + (1000/G889))),2)</f>
      </c>
    </row>
    <row r="890">
      <c r="A890" s="2" t="str">
        <v>01/05 ВС</v>
      </c>
      <c r="B890" s="2" t="str">
        <v>15:00</v>
      </c>
      <c r="C890" s="2" t="str">
        <v>ТАИЛАНД ТАИЛАНД</v>
      </c>
      <c r="D890" s="2" t="str">
        <v>Нахон Ратчасима-Муангтонг Юнайтед</v>
      </c>
      <c r="E890" s="3">
        <f>-</f>
      </c>
      <c r="F890" s="3">
        <f>-</f>
      </c>
      <c r="G890" s="3">
        <f>-</f>
      </c>
      <c r="H890" s="3">
        <f>=ROUND((1000/((1000/E890) + (1000/f890))),2)</f>
      </c>
      <c r="I890" s="3">
        <f>=ROUND((1000/((1000/E890) + (1000/G890))),2)</f>
      </c>
      <c r="J890" s="3">
        <f>=ROUND((1000/((1000/F890) + (1000/G890))),2)</f>
      </c>
    </row>
    <row r="891">
      <c r="A891" s="2" t="str">
        <v>01/05 ВС</v>
      </c>
      <c r="B891" s="2" t="str">
        <v>16:00</v>
      </c>
      <c r="C891" s="2" t="str">
        <v>ТАИЛАНД ТАИЛАНД</v>
      </c>
      <c r="D891" s="2" t="str">
        <v>Порт Эм-Ти-Ай-Нонг Буа</v>
      </c>
      <c r="E891" s="3">
        <f>-</f>
      </c>
      <c r="F891" s="3">
        <f>-</f>
      </c>
      <c r="G891" s="3">
        <f>-</f>
      </c>
      <c r="H891" s="3">
        <f>=ROUND((1000/((1000/E891) + (1000/f891))),2)</f>
      </c>
      <c r="I891" s="3">
        <f>=ROUND((1000/((1000/E891) + (1000/G891))),2)</f>
      </c>
      <c r="J891" s="3">
        <f>=ROUND((1000/((1000/F891) + (1000/G891))),2)</f>
      </c>
    </row>
    <row r="892">
      <c r="A892" s="2" t="str">
        <v>01/05 ВС</v>
      </c>
      <c r="B892" s="2" t="str">
        <v>11:30</v>
      </c>
      <c r="C892" s="2" t="str">
        <v>ТАЙВАНЬ ТАЙВАНЬ</v>
      </c>
      <c r="D892" s="2" t="str">
        <v>Тайвань Стил-Хан Юэнь</v>
      </c>
      <c r="E892" s="3">
        <f>-</f>
      </c>
      <c r="F892" s="3">
        <f>-</f>
      </c>
      <c r="G892" s="3">
        <f>-</f>
      </c>
      <c r="H892" s="3">
        <f>=ROUND((1000/((1000/E892) + (1000/f892))),2)</f>
      </c>
      <c r="I892" s="3">
        <f>=ROUND((1000/((1000/E892) + (1000/G892))),2)</f>
      </c>
      <c r="J892" s="3">
        <f>=ROUND((1000/((1000/F892) + (1000/G892))),2)</f>
      </c>
    </row>
    <row r="893">
      <c r="A893" s="2" t="str">
        <v>01/05 ВС</v>
      </c>
      <c r="B893" s="2" t="str">
        <v>12:00</v>
      </c>
      <c r="C893" s="2" t="str">
        <v>ТАЙВАНЬ ТАЙВАНЬ</v>
      </c>
      <c r="D893" s="2" t="str">
        <v>АК Тайпей-Тайчун</v>
      </c>
      <c r="E893" s="3">
        <f>-</f>
      </c>
      <c r="F893" s="3">
        <f>-</f>
      </c>
      <c r="G893" s="3">
        <f>-</f>
      </c>
      <c r="H893" s="3">
        <f>=ROUND((1000/((1000/E893) + (1000/f893))),2)</f>
      </c>
      <c r="I893" s="3">
        <f>=ROUND((1000/((1000/E893) + (1000/G893))),2)</f>
      </c>
      <c r="J893" s="3">
        <f>=ROUND((1000/((1000/F893) + (1000/G893))),2)</f>
      </c>
    </row>
    <row r="894">
      <c r="A894" s="2" t="str">
        <v>01/05 ВС</v>
      </c>
      <c r="B894" s="2" t="str">
        <v>15:00</v>
      </c>
      <c r="C894" s="2" t="str">
        <v>ТАЙВАНЬ ТАЙВАНЬ</v>
      </c>
      <c r="D894" s="2" t="str">
        <v>Университет Мин Чуан-Тайпауэр</v>
      </c>
      <c r="E894" s="3">
        <f>-</f>
      </c>
      <c r="F894" s="3">
        <f>-</f>
      </c>
      <c r="G894" s="3">
        <f>-</f>
      </c>
      <c r="H894" s="3">
        <f>=ROUND((1000/((1000/E894) + (1000/f894))),2)</f>
      </c>
      <c r="I894" s="3">
        <f>=ROUND((1000/((1000/E894) + (1000/G894))),2)</f>
      </c>
      <c r="J894" s="3">
        <f>=ROUND((1000/((1000/F894) + (1000/G894))),2)</f>
      </c>
    </row>
    <row r="895">
      <c r="A895" s="2" t="str">
        <v>01/05 ВС</v>
      </c>
      <c r="B895" s="2" t="str">
        <v>17:00</v>
      </c>
      <c r="C895" s="2" t="str">
        <v>ТАНЗАНИЯ ТАНЗАНИЯ</v>
      </c>
      <c r="D895" s="2" t="str">
        <v>Танзания Призонс-Полиси Танзания</v>
      </c>
      <c r="E895" s="3">
        <f>-</f>
      </c>
      <c r="F895" s="3">
        <f>-</f>
      </c>
      <c r="G895" s="3">
        <f>-</f>
      </c>
      <c r="H895" s="3">
        <f>=ROUND((1000/((1000/E895) + (1000/f895))),2)</f>
      </c>
      <c r="I895" s="3">
        <f>=ROUND((1000/((1000/E895) + (1000/G895))),2)</f>
      </c>
      <c r="J895" s="3">
        <f>=ROUND((1000/((1000/F895) + (1000/G895))),2)</f>
      </c>
    </row>
    <row r="896" xml:space="preserve">
      <c r="A896" s="2" t="str">
        <v>01/05 ВС</v>
      </c>
      <c r="B896" s="2" t="str" xml:space="preserve">
        <v xml:space="preserve">19:00_x000d_
TKP</v>
      </c>
      <c r="C896" s="2" t="str">
        <v>ТОГО ТОГО</v>
      </c>
      <c r="D896" s="2" t="str">
        <v>Кара-Binah</v>
      </c>
      <c r="E896" s="3">
        <f>-</f>
      </c>
      <c r="F896" s="3">
        <f>-</f>
      </c>
      <c r="G896" s="3">
        <f>-</f>
      </c>
      <c r="H896" s="3">
        <f>=ROUND((1000/((1000/E896) + (1000/f896))),2)</f>
      </c>
      <c r="I896" s="3">
        <f>=ROUND((1000/((1000/E896) + (1000/G896))),2)</f>
      </c>
      <c r="J896" s="3">
        <f>=ROUND((1000/((1000/F896) + (1000/G896))),2)</f>
      </c>
    </row>
    <row r="897">
      <c r="A897" s="2" t="str">
        <v>01/05 ВС</v>
      </c>
      <c r="B897" s="2" t="str">
        <v>17:00</v>
      </c>
      <c r="C897" s="2" t="str">
        <v>ТУРЦИЯ ТУРЦИЯ</v>
      </c>
      <c r="D897" s="2" t="str">
        <v>Аланьяспор-Йени Малатьяспор</v>
      </c>
      <c r="E897" s="3">
        <f>1.25</f>
      </c>
      <c r="F897" s="3">
        <f>5.25</f>
      </c>
      <c r="G897" s="3">
        <f>10.00</f>
      </c>
      <c r="H897" s="3">
        <f>=ROUND((1000/((1000/E897) + (1000/f897))),2)</f>
      </c>
      <c r="I897" s="3">
        <f>=ROUND((1000/((1000/E897) + (1000/G897))),2)</f>
      </c>
      <c r="J897" s="3">
        <f>=ROUND((1000/((1000/F897) + (1000/G897))),2)</f>
      </c>
    </row>
    <row r="898">
      <c r="A898" s="2" t="str">
        <v>01/05 ВС</v>
      </c>
      <c r="B898" s="2" t="str">
        <v>17:00</v>
      </c>
      <c r="C898" s="2" t="str">
        <v>ТУРЦИЯ ТУРЦИЯ</v>
      </c>
      <c r="D898" s="2" t="str">
        <v>Кайсериспор-Бешикташ</v>
      </c>
      <c r="E898" s="3">
        <f>3.50</f>
      </c>
      <c r="F898" s="3">
        <f>3.75</f>
      </c>
      <c r="G898" s="3">
        <f>1.85</f>
      </c>
      <c r="H898" s="3">
        <f>=ROUND((1000/((1000/E898) + (1000/f898))),2)</f>
      </c>
      <c r="I898" s="3">
        <f>=ROUND((1000/((1000/E898) + (1000/G898))),2)</f>
      </c>
      <c r="J898" s="3">
        <f>=ROUND((1000/((1000/F898) + (1000/G898))),2)</f>
      </c>
    </row>
    <row r="899">
      <c r="A899" s="2" t="str">
        <v>01/05 ВС</v>
      </c>
      <c r="B899" s="2" t="str">
        <v>21:30</v>
      </c>
      <c r="C899" s="2" t="str">
        <v>ТУРЦИЯ ТУРЦИЯ</v>
      </c>
      <c r="D899" s="2" t="str">
        <v>Галатасарай-Сивасспор</v>
      </c>
      <c r="E899" s="3">
        <f>1.80</f>
      </c>
      <c r="F899" s="3">
        <f>3.30</f>
      </c>
      <c r="G899" s="3">
        <f>4.33</f>
      </c>
      <c r="H899" s="3">
        <f>=ROUND((1000/((1000/E899) + (1000/f899))),2)</f>
      </c>
      <c r="I899" s="3">
        <f>=ROUND((1000/((1000/E899) + (1000/G899))),2)</f>
      </c>
      <c r="J899" s="3">
        <f>=ROUND((1000/((1000/F899) + (1000/G899))),2)</f>
      </c>
    </row>
    <row r="900">
      <c r="A900" s="2" t="str">
        <v>01/05 ВС</v>
      </c>
      <c r="B900" s="2" t="str">
        <v>21:30</v>
      </c>
      <c r="C900" s="2" t="str">
        <v>ТУРЦИЯ ТУРЦИЯ</v>
      </c>
      <c r="D900" s="2" t="str">
        <v>Гёзтепе-Ризеспор</v>
      </c>
      <c r="E900" s="3">
        <f>1.90</f>
      </c>
      <c r="F900" s="3">
        <f>3.75</f>
      </c>
      <c r="G900" s="3">
        <f>3.60</f>
      </c>
      <c r="H900" s="3">
        <f>=ROUND((1000/((1000/E900) + (1000/f900))),2)</f>
      </c>
      <c r="I900" s="3">
        <f>=ROUND((1000/((1000/E900) + (1000/G900))),2)</f>
      </c>
      <c r="J900" s="3">
        <f>=ROUND((1000/((1000/F900) + (1000/G900))),2)</f>
      </c>
    </row>
    <row r="901">
      <c r="A901" s="2" t="str">
        <v>01/05 ВС</v>
      </c>
      <c r="B901" s="2" t="str">
        <v>17:00</v>
      </c>
      <c r="C901" s="2" t="str">
        <v>ТУРЦИЯ ТУРЦИЯ</v>
      </c>
      <c r="D901" s="2" t="str">
        <v>Аданаспор-Болуспор</v>
      </c>
      <c r="E901" s="3">
        <f>2.30</f>
      </c>
      <c r="F901" s="3">
        <f>3.00</f>
      </c>
      <c r="G901" s="3">
        <f>3.00</f>
      </c>
      <c r="H901" s="3">
        <f>=ROUND((1000/((1000/E901) + (1000/f901))),2)</f>
      </c>
      <c r="I901" s="3">
        <f>=ROUND((1000/((1000/E901) + (1000/G901))),2)</f>
      </c>
      <c r="J901" s="3">
        <f>=ROUND((1000/((1000/F901) + (1000/G901))),2)</f>
      </c>
    </row>
    <row r="902">
      <c r="A902" s="2" t="str">
        <v>01/05 ВС</v>
      </c>
      <c r="B902" s="2" t="str">
        <v>17:00</v>
      </c>
      <c r="C902" s="2" t="str">
        <v>ТУРЦИЯ ТУРЦИЯ</v>
      </c>
      <c r="D902" s="2" t="str">
        <v>Анкарагюджю-Самсунспор</v>
      </c>
      <c r="E902" s="3">
        <f>2.00</f>
      </c>
      <c r="F902" s="3">
        <f>3.10</f>
      </c>
      <c r="G902" s="3">
        <f>3.50</f>
      </c>
      <c r="H902" s="3">
        <f>=ROUND((1000/((1000/E902) + (1000/f902))),2)</f>
      </c>
      <c r="I902" s="3">
        <f>=ROUND((1000/((1000/E902) + (1000/G902))),2)</f>
      </c>
      <c r="J902" s="3">
        <f>=ROUND((1000/((1000/F902) + (1000/G902))),2)</f>
      </c>
    </row>
    <row r="903">
      <c r="A903" s="2" t="str">
        <v>01/05 ВС</v>
      </c>
      <c r="B903" s="2" t="str">
        <v>17:00</v>
      </c>
      <c r="C903" s="2" t="str">
        <v>ТУРЦИЯ ТУРЦИЯ</v>
      </c>
      <c r="D903" s="2" t="str">
        <v>Бандырмаспор-Кечиоренгюджю</v>
      </c>
      <c r="E903" s="3">
        <f>1.57</f>
      </c>
      <c r="F903" s="3">
        <f>3.50</f>
      </c>
      <c r="G903" s="3">
        <f>5.25</f>
      </c>
      <c r="H903" s="3">
        <f>=ROUND((1000/((1000/E903) + (1000/f903))),2)</f>
      </c>
      <c r="I903" s="3">
        <f>=ROUND((1000/((1000/E903) + (1000/G903))),2)</f>
      </c>
      <c r="J903" s="3">
        <f>=ROUND((1000/((1000/F903) + (1000/G903))),2)</f>
      </c>
    </row>
    <row r="904">
      <c r="A904" s="2" t="str">
        <v>01/05 ВС</v>
      </c>
      <c r="B904" s="2" t="str">
        <v>17:00</v>
      </c>
      <c r="C904" s="2" t="str">
        <v>ТУРЦИЯ ТУРЦИЯ</v>
      </c>
      <c r="D904" s="2" t="str">
        <v>Денизлиспор-Генчлербирлиги</v>
      </c>
      <c r="E904" s="3">
        <f>2.40</f>
      </c>
      <c r="F904" s="3">
        <f>3.00</f>
      </c>
      <c r="G904" s="3">
        <f>2.75</f>
      </c>
      <c r="H904" s="3">
        <f>=ROUND((1000/((1000/E904) + (1000/f904))),2)</f>
      </c>
      <c r="I904" s="3">
        <f>=ROUND((1000/((1000/E904) + (1000/G904))),2)</f>
      </c>
      <c r="J904" s="3">
        <f>=ROUND((1000/((1000/F904) + (1000/G904))),2)</f>
      </c>
    </row>
    <row r="905">
      <c r="A905" s="2" t="str">
        <v>01/05 ВС</v>
      </c>
      <c r="B905" s="2" t="str">
        <v>17:00</v>
      </c>
      <c r="C905" s="2" t="str">
        <v>ТУРЦИЯ ТУРЦИЯ</v>
      </c>
      <c r="D905" s="2" t="str">
        <v>Маниса-Бурсаспор</v>
      </c>
      <c r="E905" s="3">
        <f>1.95</f>
      </c>
      <c r="F905" s="3">
        <f>3.20</f>
      </c>
      <c r="G905" s="3">
        <f>3.60</f>
      </c>
      <c r="H905" s="3">
        <f>=ROUND((1000/((1000/E905) + (1000/f905))),2)</f>
      </c>
      <c r="I905" s="3">
        <f>=ROUND((1000/((1000/E905) + (1000/G905))),2)</f>
      </c>
      <c r="J905" s="3">
        <f>=ROUND((1000/((1000/F905) + (1000/G905))),2)</f>
      </c>
    </row>
    <row r="906">
      <c r="A906" s="2" t="str">
        <v>01/05 ВС</v>
      </c>
      <c r="B906" s="2" t="str">
        <v>17:00</v>
      </c>
      <c r="C906" s="2" t="str">
        <v>ТУРЦИЯ ТУРЦИЯ</v>
      </c>
      <c r="D906" s="2" t="str">
        <v>Менеменспор-Тузласпор</v>
      </c>
      <c r="E906" s="3">
        <f>2.87</f>
      </c>
      <c r="F906" s="3">
        <f>3.20</f>
      </c>
      <c r="G906" s="3">
        <f>2.37</f>
      </c>
      <c r="H906" s="3">
        <f>=ROUND((1000/((1000/E906) + (1000/f906))),2)</f>
      </c>
      <c r="I906" s="3">
        <f>=ROUND((1000/((1000/E906) + (1000/G906))),2)</f>
      </c>
      <c r="J906" s="3">
        <f>=ROUND((1000/((1000/F906) + (1000/G906))),2)</f>
      </c>
    </row>
    <row r="907">
      <c r="A907" s="2" t="str">
        <v>01/05 ВС</v>
      </c>
      <c r="B907" s="2" t="str">
        <v>17:00</v>
      </c>
      <c r="C907" s="2" t="str">
        <v>ТУРЦИЯ ТУРЦИЯ</v>
      </c>
      <c r="D907" s="2" t="str">
        <v>Умраниеспор-Балыкесирспор</v>
      </c>
      <c r="E907" s="3">
        <f>1.10</f>
      </c>
      <c r="F907" s="3">
        <f>8.00</f>
      </c>
      <c r="G907" s="3">
        <f>21.00</f>
      </c>
      <c r="H907" s="3">
        <f>=ROUND((1000/((1000/E907) + (1000/f907))),2)</f>
      </c>
      <c r="I907" s="3">
        <f>=ROUND((1000/((1000/E907) + (1000/G907))),2)</f>
      </c>
      <c r="J907" s="3">
        <f>=ROUND((1000/((1000/F907) + (1000/G907))),2)</f>
      </c>
    </row>
    <row r="908">
      <c r="A908" s="2" t="str">
        <v>01/05 ВС</v>
      </c>
      <c r="B908" s="2" t="str">
        <v>17:00</v>
      </c>
      <c r="C908" s="2" t="str">
        <v>ТУРЦИЯ ТУРЦИЯ</v>
      </c>
      <c r="D908" s="2" t="str">
        <v>Эрзурум-Коджаелиспор</v>
      </c>
      <c r="E908" s="3">
        <f>1.53</f>
      </c>
      <c r="F908" s="3">
        <f>4.00</f>
      </c>
      <c r="G908" s="3">
        <f>4.75</f>
      </c>
      <c r="H908" s="3">
        <f>=ROUND((1000/((1000/E908) + (1000/f908))),2)</f>
      </c>
      <c r="I908" s="3">
        <f>=ROUND((1000/((1000/E908) + (1000/G908))),2)</f>
      </c>
      <c r="J908" s="3">
        <f>=ROUND((1000/((1000/F908) + (1000/G908))),2)</f>
      </c>
    </row>
    <row r="909">
      <c r="A909" s="2" t="str">
        <v>01/05 ВС</v>
      </c>
      <c r="B909" s="2" t="str">
        <v>17:00</v>
      </c>
      <c r="C909" s="2" t="str">
        <v>ТУРЦИЯ ТУРЦИЯ</v>
      </c>
      <c r="D909" s="2" t="str">
        <v>Эюпспор-Истанбулспор</v>
      </c>
      <c r="E909" s="3">
        <f>2.05</f>
      </c>
      <c r="F909" s="3">
        <f>3.25</f>
      </c>
      <c r="G909" s="3">
        <f>3.20</f>
      </c>
      <c r="H909" s="3">
        <f>=ROUND((1000/((1000/E909) + (1000/f909))),2)</f>
      </c>
      <c r="I909" s="3">
        <f>=ROUND((1000/((1000/E909) + (1000/G909))),2)</f>
      </c>
      <c r="J909" s="3">
        <f>=ROUND((1000/((1000/F909) + (1000/G909))),2)</f>
      </c>
    </row>
    <row r="910">
      <c r="A910" s="2" t="str">
        <v>01/05 ВС</v>
      </c>
      <c r="B910" s="2" t="str">
        <v>16:00</v>
      </c>
      <c r="C910" s="2" t="str">
        <v>ТУРЦИЯ ТУРЦИЯ</v>
      </c>
      <c r="D910" s="2" t="str">
        <v>24 Эрзинджанспор-Бука</v>
      </c>
      <c r="E910" s="3">
        <f>-</f>
      </c>
      <c r="F910" s="3">
        <f>-</f>
      </c>
      <c r="G910" s="3">
        <f>-</f>
      </c>
      <c r="H910" s="3">
        <f>=ROUND((1000/((1000/E910) + (1000/f910))),2)</f>
      </c>
      <c r="I910" s="3">
        <f>=ROUND((1000/((1000/E910) + (1000/G910))),2)</f>
      </c>
      <c r="J910" s="3">
        <f>=ROUND((1000/((1000/F910) + (1000/G910))),2)</f>
      </c>
    </row>
    <row r="911">
      <c r="A911" s="2" t="str">
        <v>01/05 ВС</v>
      </c>
      <c r="B911" s="2" t="str">
        <v>16:00</v>
      </c>
      <c r="C911" s="2" t="str">
        <v>ТУРЦИЯ ТУРЦИЯ</v>
      </c>
      <c r="D911" s="2" t="str">
        <v>Акхисарспор-Амедспор</v>
      </c>
      <c r="E911" s="3">
        <f>-</f>
      </c>
      <c r="F911" s="3">
        <f>-</f>
      </c>
      <c r="G911" s="3">
        <f>-</f>
      </c>
      <c r="H911" s="3">
        <f>=ROUND((1000/((1000/E911) + (1000/f911))),2)</f>
      </c>
      <c r="I911" s="3">
        <f>=ROUND((1000/((1000/E911) + (1000/G911))),2)</f>
      </c>
      <c r="J911" s="3">
        <f>=ROUND((1000/((1000/F911) + (1000/G911))),2)</f>
      </c>
    </row>
    <row r="912">
      <c r="A912" s="2" t="str">
        <v>01/05 ВС</v>
      </c>
      <c r="B912" s="2" t="str">
        <v>16:00</v>
      </c>
      <c r="C912" s="2" t="str">
        <v>ТУРЦИЯ ТУРЦИЯ</v>
      </c>
      <c r="D912" s="2" t="str">
        <v>Анкара Демирспор-Эскишехирспор</v>
      </c>
      <c r="E912" s="3">
        <f>-</f>
      </c>
      <c r="F912" s="3">
        <f>-</f>
      </c>
      <c r="G912" s="3">
        <f>-</f>
      </c>
      <c r="H912" s="3">
        <f>=ROUND((1000/((1000/E912) + (1000/f912))),2)</f>
      </c>
      <c r="I912" s="3">
        <f>=ROUND((1000/((1000/E912) + (1000/G912))),2)</f>
      </c>
      <c r="J912" s="3">
        <f>=ROUND((1000/((1000/F912) + (1000/G912))),2)</f>
      </c>
    </row>
    <row r="913">
      <c r="A913" s="2" t="str">
        <v>01/05 ВС</v>
      </c>
      <c r="B913" s="2" t="str">
        <v>16:00</v>
      </c>
      <c r="C913" s="2" t="str">
        <v>ТУРЦИЯ ТУРЦИЯ</v>
      </c>
      <c r="D913" s="2" t="str">
        <v>Кыршехир Беледиеспор-Шанлыурфаспор</v>
      </c>
      <c r="E913" s="3">
        <f>-</f>
      </c>
      <c r="F913" s="3">
        <f>-</f>
      </c>
      <c r="G913" s="3">
        <f>-</f>
      </c>
      <c r="H913" s="3">
        <f>=ROUND((1000/((1000/E913) + (1000/f913))),2)</f>
      </c>
      <c r="I913" s="3">
        <f>=ROUND((1000/((1000/E913) + (1000/G913))),2)</f>
      </c>
      <c r="J913" s="3">
        <f>=ROUND((1000/((1000/F913) + (1000/G913))),2)</f>
      </c>
    </row>
    <row r="914">
      <c r="A914" s="2" t="str">
        <v>01/05 ВС</v>
      </c>
      <c r="B914" s="2" t="str">
        <v>16:00</v>
      </c>
      <c r="C914" s="2" t="str">
        <v>ТУРЦИЯ ТУРЦИЯ</v>
      </c>
      <c r="D914" s="2" t="str">
        <v>Назыллыспор-Караджабей</v>
      </c>
      <c r="E914" s="3">
        <f>-</f>
      </c>
      <c r="F914" s="3">
        <f>-</f>
      </c>
      <c r="G914" s="3">
        <f>-</f>
      </c>
      <c r="H914" s="3">
        <f>=ROUND((1000/((1000/E914) + (1000/f914))),2)</f>
      </c>
      <c r="I914" s="3">
        <f>=ROUND((1000/((1000/E914) + (1000/G914))),2)</f>
      </c>
      <c r="J914" s="3">
        <f>=ROUND((1000/((1000/F914) + (1000/G914))),2)</f>
      </c>
    </row>
    <row r="915">
      <c r="A915" s="2" t="str">
        <v>01/05 ВС</v>
      </c>
      <c r="B915" s="2" t="str">
        <v>16:00</v>
      </c>
      <c r="C915" s="2" t="str">
        <v>ТУРЦИЯ ТУРЦИЯ</v>
      </c>
      <c r="D915" s="2" t="str">
        <v>Пендикспор-Пазарспор</v>
      </c>
      <c r="E915" s="3">
        <f>-</f>
      </c>
      <c r="F915" s="3">
        <f>-</f>
      </c>
      <c r="G915" s="3">
        <f>-</f>
      </c>
      <c r="H915" s="3">
        <f>=ROUND((1000/((1000/E915) + (1000/f915))),2)</f>
      </c>
      <c r="I915" s="3">
        <f>=ROUND((1000/((1000/E915) + (1000/G915))),2)</f>
      </c>
      <c r="J915" s="3">
        <f>=ROUND((1000/((1000/F915) + (1000/G915))),2)</f>
      </c>
    </row>
    <row r="916">
      <c r="A916" s="2" t="str">
        <v>01/05 ВС</v>
      </c>
      <c r="B916" s="2" t="str">
        <v>16:00</v>
      </c>
      <c r="C916" s="2" t="str">
        <v>ТУРЦИЯ ТУРЦИЯ</v>
      </c>
      <c r="D916" s="2" t="str">
        <v>Тарсус-Зонгулдак Комурспор</v>
      </c>
      <c r="E916" s="3">
        <f>-</f>
      </c>
      <c r="F916" s="3">
        <f>-</f>
      </c>
      <c r="G916" s="3">
        <f>-</f>
      </c>
      <c r="H916" s="3">
        <f>=ROUND((1000/((1000/E916) + (1000/f916))),2)</f>
      </c>
      <c r="I916" s="3">
        <f>=ROUND((1000/((1000/E916) + (1000/G916))),2)</f>
      </c>
      <c r="J916" s="3">
        <f>=ROUND((1000/((1000/F916) + (1000/G916))),2)</f>
      </c>
    </row>
    <row r="917">
      <c r="A917" s="2" t="str">
        <v>01/05 ВС</v>
      </c>
      <c r="B917" s="2" t="str">
        <v>16:00</v>
      </c>
      <c r="C917" s="2" t="str">
        <v>ТУРЦИЯ ТУРЦИЯ</v>
      </c>
      <c r="D917" s="2" t="str">
        <v>Ушакспор-Кыркларелиспор</v>
      </c>
      <c r="E917" s="3">
        <f>-</f>
      </c>
      <c r="F917" s="3">
        <f>-</f>
      </c>
      <c r="G917" s="3">
        <f>-</f>
      </c>
      <c r="H917" s="3">
        <f>=ROUND((1000/((1000/E917) + (1000/f917))),2)</f>
      </c>
      <c r="I917" s="3">
        <f>=ROUND((1000/((1000/E917) + (1000/G917))),2)</f>
      </c>
      <c r="J917" s="3">
        <f>=ROUND((1000/((1000/F917) + (1000/G917))),2)</f>
      </c>
    </row>
    <row r="918">
      <c r="A918" s="2" t="str">
        <v>01/05 ВС</v>
      </c>
      <c r="B918" s="2" t="str">
        <v>16:00</v>
      </c>
      <c r="C918" s="2" t="str">
        <v>ТУРЦИЯ ТУРЦИЯ</v>
      </c>
      <c r="D918" s="2" t="str">
        <v>Адияманспор-Корум</v>
      </c>
      <c r="E918" s="3">
        <f>-</f>
      </c>
      <c r="F918" s="3">
        <f>-</f>
      </c>
      <c r="G918" s="3">
        <f>-</f>
      </c>
      <c r="H918" s="3">
        <f>=ROUND((1000/((1000/E918) + (1000/f918))),2)</f>
      </c>
      <c r="I918" s="3">
        <f>=ROUND((1000/((1000/E918) + (1000/G918))),2)</f>
      </c>
      <c r="J918" s="3">
        <f>=ROUND((1000/((1000/F918) + (1000/G918))),2)</f>
      </c>
    </row>
    <row r="919">
      <c r="A919" s="2" t="str">
        <v>01/05 ВС</v>
      </c>
      <c r="B919" s="2" t="str">
        <v>16:00</v>
      </c>
      <c r="C919" s="2" t="str">
        <v>ТУРЦИЯ ТУРЦИЯ</v>
      </c>
      <c r="D919" s="2" t="str">
        <v>АФЙЕТ Афьонспор-Сарыер</v>
      </c>
      <c r="E919" s="3">
        <f>-</f>
      </c>
      <c r="F919" s="3">
        <f>-</f>
      </c>
      <c r="G919" s="3">
        <f>-</f>
      </c>
      <c r="H919" s="3">
        <f>=ROUND((1000/((1000/E919) + (1000/f919))),2)</f>
      </c>
      <c r="I919" s="3">
        <f>=ROUND((1000/((1000/E919) + (1000/G919))),2)</f>
      </c>
      <c r="J919" s="3">
        <f>=ROUND((1000/((1000/F919) + (1000/G919))),2)</f>
      </c>
    </row>
    <row r="920">
      <c r="A920" s="2" t="str">
        <v>01/05 ВС</v>
      </c>
      <c r="B920" s="2" t="str">
        <v>16:00</v>
      </c>
      <c r="C920" s="2" t="str">
        <v>ТУРЦИЯ ТУРЦИЯ</v>
      </c>
      <c r="D920" s="2" t="str">
        <v>Диярбакырспор-Байбурт Ченджлик</v>
      </c>
      <c r="E920" s="3">
        <f>-</f>
      </c>
      <c r="F920" s="3">
        <f>-</f>
      </c>
      <c r="G920" s="3">
        <f>-</f>
      </c>
      <c r="H920" s="3">
        <f>=ROUND((1000/((1000/E920) + (1000/f920))),2)</f>
      </c>
      <c r="I920" s="3">
        <f>=ROUND((1000/((1000/E920) + (1000/G920))),2)</f>
      </c>
      <c r="J920" s="3">
        <f>=ROUND((1000/((1000/F920) + (1000/G920))),2)</f>
      </c>
    </row>
    <row r="921">
      <c r="A921" s="2" t="str">
        <v>01/05 ВС</v>
      </c>
      <c r="B921" s="2" t="str">
        <v>16:00</v>
      </c>
      <c r="C921" s="2" t="str">
        <v>ТУРЦИЯ ТУРЦИЯ</v>
      </c>
      <c r="D921" s="2" t="str">
        <v>Инегольспор-Ванспор</v>
      </c>
      <c r="E921" s="3">
        <f>-</f>
      </c>
      <c r="F921" s="3">
        <f>-</f>
      </c>
      <c r="G921" s="3">
        <f>-</f>
      </c>
      <c r="H921" s="3">
        <f>=ROUND((1000/((1000/E921) + (1000/f921))),2)</f>
      </c>
      <c r="I921" s="3">
        <f>=ROUND((1000/((1000/E921) + (1000/G921))),2)</f>
      </c>
      <c r="J921" s="3">
        <f>=ROUND((1000/((1000/F921) + (1000/G921))),2)</f>
      </c>
    </row>
    <row r="922">
      <c r="A922" s="2" t="str">
        <v>01/05 ВС</v>
      </c>
      <c r="B922" s="2" t="str">
        <v>16:00</v>
      </c>
      <c r="C922" s="2" t="str">
        <v>ТУРЦИЯ ТУРЦИЯ</v>
      </c>
      <c r="D922" s="2" t="str">
        <v>Нигдэ Анадолу-Бодрумспор</v>
      </c>
      <c r="E922" s="3">
        <f>-</f>
      </c>
      <c r="F922" s="3">
        <f>-</f>
      </c>
      <c r="G922" s="3">
        <f>-</f>
      </c>
      <c r="H922" s="3">
        <f>=ROUND((1000/((1000/E922) + (1000/f922))),2)</f>
      </c>
      <c r="I922" s="3">
        <f>=ROUND((1000/((1000/E922) + (1000/G922))),2)</f>
      </c>
      <c r="J922" s="3">
        <f>=ROUND((1000/((1000/F922) + (1000/G922))),2)</f>
      </c>
    </row>
    <row r="923">
      <c r="A923" s="2" t="str">
        <v>01/05 ВС</v>
      </c>
      <c r="B923" s="2" t="str">
        <v>16:00</v>
      </c>
      <c r="C923" s="2" t="str">
        <v>ТУРЦИЯ ТУРЦИЯ</v>
      </c>
      <c r="D923" s="2" t="str">
        <v>Тюргютлюспор-Серик Беледиеспор</v>
      </c>
      <c r="E923" s="3">
        <f>-</f>
      </c>
      <c r="F923" s="3">
        <f>-</f>
      </c>
      <c r="G923" s="3">
        <f>-</f>
      </c>
      <c r="H923" s="3">
        <f>=ROUND((1000/((1000/E923) + (1000/f923))),2)</f>
      </c>
      <c r="I923" s="3">
        <f>=ROUND((1000/((1000/E923) + (1000/G923))),2)</f>
      </c>
      <c r="J923" s="3">
        <f>=ROUND((1000/((1000/F923) + (1000/G923))),2)</f>
      </c>
    </row>
    <row r="924">
      <c r="A924" s="2" t="str">
        <v>01/05 ВС</v>
      </c>
      <c r="B924" s="2" t="str">
        <v>16:00</v>
      </c>
      <c r="C924" s="2" t="str">
        <v>ТУРЦИЯ ТУРЦИЯ</v>
      </c>
      <c r="D924" s="2" t="str">
        <v>Эргене Велимеше-Сивас Беледиеспор</v>
      </c>
      <c r="E924" s="3">
        <f>-</f>
      </c>
      <c r="F924" s="3">
        <f>-</f>
      </c>
      <c r="G924" s="3">
        <f>-</f>
      </c>
      <c r="H924" s="3">
        <f>=ROUND((1000/((1000/E924) + (1000/f924))),2)</f>
      </c>
      <c r="I924" s="3">
        <f>=ROUND((1000/((1000/E924) + (1000/G924))),2)</f>
      </c>
      <c r="J924" s="3">
        <f>=ROUND((1000/((1000/F924) + (1000/G924))),2)</f>
      </c>
    </row>
    <row r="925">
      <c r="A925" s="2" t="str">
        <v>01/05 ВС</v>
      </c>
      <c r="B925" s="2" t="str">
        <v>16:00</v>
      </c>
      <c r="C925" s="2" t="str">
        <v>ТУРЦИЯ ТУРЦИЯ</v>
      </c>
      <c r="D925" s="2" t="str">
        <v>Этимесгут-Анкараспор</v>
      </c>
      <c r="E925" s="3">
        <f>-</f>
      </c>
      <c r="F925" s="3">
        <f>-</f>
      </c>
      <c r="G925" s="3">
        <f>-</f>
      </c>
      <c r="H925" s="3">
        <f>=ROUND((1000/((1000/E925) + (1000/f925))),2)</f>
      </c>
      <c r="I925" s="3">
        <f>=ROUND((1000/((1000/E925) + (1000/G925))),2)</f>
      </c>
      <c r="J925" s="3">
        <f>=ROUND((1000/((1000/F925) + (1000/G925))),2)</f>
      </c>
    </row>
    <row r="926">
      <c r="A926" s="2" t="str">
        <v>01/05 ВС</v>
      </c>
      <c r="B926" s="2" t="str">
        <v>16:00</v>
      </c>
      <c r="C926" s="2" t="str">
        <v>ТУРЦИЯ ТУРЦИЯ</v>
      </c>
      <c r="D926" s="2" t="str">
        <v>Trabzon FK-Сома Спор</v>
      </c>
      <c r="E926" s="3">
        <f>-</f>
      </c>
      <c r="F926" s="3">
        <f>-</f>
      </c>
      <c r="G926" s="3">
        <f>-</f>
      </c>
      <c r="H926" s="3">
        <f>=ROUND((1000/((1000/E926) + (1000/f926))),2)</f>
      </c>
      <c r="I926" s="3">
        <f>=ROUND((1000/((1000/E926) + (1000/G926))),2)</f>
      </c>
      <c r="J926" s="3">
        <f>=ROUND((1000/((1000/F926) + (1000/G926))),2)</f>
      </c>
    </row>
    <row r="927">
      <c r="A927" s="2" t="str">
        <v>01/05 ВС</v>
      </c>
      <c r="B927" s="2" t="str">
        <v>16:00</v>
      </c>
      <c r="C927" s="2" t="str">
        <v>ТУРЦИЯ ТУРЦИЯ</v>
      </c>
      <c r="D927" s="2" t="str">
        <v>Арнавуткой-Хендек</v>
      </c>
      <c r="E927" s="3">
        <f>-</f>
      </c>
      <c r="F927" s="3">
        <f>-</f>
      </c>
      <c r="G927" s="3">
        <f>-</f>
      </c>
      <c r="H927" s="3">
        <f>=ROUND((1000/((1000/E927) + (1000/f927))),2)</f>
      </c>
      <c r="I927" s="3">
        <f>=ROUND((1000/((1000/E927) + (1000/G927))),2)</f>
      </c>
      <c r="J927" s="3">
        <f>=ROUND((1000/((1000/F927) + (1000/G927))),2)</f>
      </c>
    </row>
    <row r="928">
      <c r="A928" s="2" t="str">
        <v>01/05 ВС</v>
      </c>
      <c r="B928" s="2" t="str">
        <v>16:00</v>
      </c>
      <c r="C928" s="2" t="str">
        <v>ТУРЦИЯ ТУРЦИЯ</v>
      </c>
      <c r="D928" s="2" t="str">
        <v>Бергама Блд.-Кахта</v>
      </c>
      <c r="E928" s="3">
        <f>-</f>
      </c>
      <c r="F928" s="3">
        <f>-</f>
      </c>
      <c r="G928" s="3">
        <f>-</f>
      </c>
      <c r="H928" s="3">
        <f>=ROUND((1000/((1000/E928) + (1000/f928))),2)</f>
      </c>
      <c r="I928" s="3">
        <f>=ROUND((1000/((1000/E928) + (1000/G928))),2)</f>
      </c>
      <c r="J928" s="3">
        <f>=ROUND((1000/((1000/F928) + (1000/G928))),2)</f>
      </c>
    </row>
    <row r="929">
      <c r="A929" s="2" t="str">
        <v>01/05 ВС</v>
      </c>
      <c r="B929" s="2" t="str">
        <v>16:00</v>
      </c>
      <c r="C929" s="2" t="str">
        <v>ТУРЦИЯ ТУРЦИЯ</v>
      </c>
      <c r="D929" s="2" t="str">
        <v>Бурса-Элязыспор</v>
      </c>
      <c r="E929" s="3">
        <f>-</f>
      </c>
      <c r="F929" s="3">
        <f>-</f>
      </c>
      <c r="G929" s="3">
        <f>-</f>
      </c>
      <c r="H929" s="3">
        <f>=ROUND((1000/((1000/E929) + (1000/f929))),2)</f>
      </c>
      <c r="I929" s="3">
        <f>=ROUND((1000/((1000/E929) + (1000/G929))),2)</f>
      </c>
      <c r="J929" s="3">
        <f>=ROUND((1000/((1000/F929) + (1000/G929))),2)</f>
      </c>
    </row>
    <row r="930">
      <c r="A930" s="2" t="str">
        <v>01/05 ВС</v>
      </c>
      <c r="B930" s="2" t="str">
        <v>16:00</v>
      </c>
      <c r="C930" s="2" t="str">
        <v>ТУРЦИЯ ТУРЦИЯ</v>
      </c>
      <c r="D930" s="2" t="str">
        <v>Кутахиаспор-Бэтмен Петролспор</v>
      </c>
      <c r="E930" s="3">
        <f>-</f>
      </c>
      <c r="F930" s="3">
        <f>-</f>
      </c>
      <c r="G930" s="3">
        <f>-</f>
      </c>
      <c r="H930" s="3">
        <f>=ROUND((1000/((1000/E930) + (1000/f930))),2)</f>
      </c>
      <c r="I930" s="3">
        <f>=ROUND((1000/((1000/E930) + (1000/G930))),2)</f>
      </c>
      <c r="J930" s="3">
        <f>=ROUND((1000/((1000/F930) + (1000/G930))),2)</f>
      </c>
    </row>
    <row r="931">
      <c r="A931" s="2" t="str">
        <v>01/05 ВС</v>
      </c>
      <c r="B931" s="2" t="str">
        <v>16:00</v>
      </c>
      <c r="C931" s="2" t="str">
        <v>ТУРЦИЯ ТУРЦИЯ</v>
      </c>
      <c r="D931" s="2" t="str">
        <v>Мамак-Санджактепе</v>
      </c>
      <c r="E931" s="3">
        <f>-</f>
      </c>
      <c r="F931" s="3">
        <f>-</f>
      </c>
      <c r="G931" s="3">
        <f>-</f>
      </c>
      <c r="H931" s="3">
        <f>=ROUND((1000/((1000/E931) + (1000/f931))),2)</f>
      </c>
      <c r="I931" s="3">
        <f>=ROUND((1000/((1000/E931) + (1000/G931))),2)</f>
      </c>
      <c r="J931" s="3">
        <f>=ROUND((1000/((1000/F931) + (1000/G931))),2)</f>
      </c>
    </row>
    <row r="932">
      <c r="A932" s="2" t="str">
        <v>01/05 ВС</v>
      </c>
      <c r="B932" s="2" t="str">
        <v>16:00</v>
      </c>
      <c r="C932" s="2" t="str">
        <v>ТУРЦИЯ ТУРЦИЯ</v>
      </c>
      <c r="D932" s="2" t="str">
        <v>Османиеспор-Келкит</v>
      </c>
      <c r="E932" s="3">
        <f>-</f>
      </c>
      <c r="F932" s="3">
        <f>-</f>
      </c>
      <c r="G932" s="3">
        <f>-</f>
      </c>
      <c r="H932" s="3">
        <f>=ROUND((1000/((1000/E932) + (1000/f932))),2)</f>
      </c>
      <c r="I932" s="3">
        <f>=ROUND((1000/((1000/E932) + (1000/G932))),2)</f>
      </c>
      <c r="J932" s="3">
        <f>=ROUND((1000/((1000/F932) + (1000/G932))),2)</f>
      </c>
    </row>
    <row r="933">
      <c r="A933" s="2" t="str">
        <v>01/05 ВС</v>
      </c>
      <c r="B933" s="2" t="str">
        <v>16:00</v>
      </c>
      <c r="C933" s="2" t="str">
        <v>ТУРЦИЯ ТУРЦИЯ</v>
      </c>
      <c r="D933" s="2" t="str">
        <v>Фатса-Невшехирспор</v>
      </c>
      <c r="E933" s="3">
        <f>-</f>
      </c>
      <c r="F933" s="3">
        <f>-</f>
      </c>
      <c r="G933" s="3">
        <f>-</f>
      </c>
      <c r="H933" s="3">
        <f>=ROUND((1000/((1000/E933) + (1000/f933))),2)</f>
      </c>
      <c r="I933" s="3">
        <f>=ROUND((1000/((1000/E933) + (1000/G933))),2)</f>
      </c>
      <c r="J933" s="3">
        <f>=ROUND((1000/((1000/F933) + (1000/G933))),2)</f>
      </c>
    </row>
    <row r="934">
      <c r="A934" s="2" t="str">
        <v>01/05 ВС</v>
      </c>
      <c r="B934" s="2" t="str">
        <v>16:00</v>
      </c>
      <c r="C934" s="2" t="str">
        <v>ТУРЦИЯ ТУРЦИЯ</v>
      </c>
      <c r="D934" s="2" t="str">
        <v>Хопаспор-Чаталджа</v>
      </c>
      <c r="E934" s="3">
        <f>-</f>
      </c>
      <c r="F934" s="3">
        <f>-</f>
      </c>
      <c r="G934" s="3">
        <f>-</f>
      </c>
      <c r="H934" s="3">
        <f>=ROUND((1000/((1000/E934) + (1000/f934))),2)</f>
      </c>
      <c r="I934" s="3">
        <f>=ROUND((1000/((1000/E934) + (1000/G934))),2)</f>
      </c>
      <c r="J934" s="3">
        <f>=ROUND((1000/((1000/F934) + (1000/G934))),2)</f>
      </c>
    </row>
    <row r="935">
      <c r="A935" s="2" t="str">
        <v>01/05 ВС</v>
      </c>
      <c r="B935" s="2" t="str">
        <v>16:00</v>
      </c>
      <c r="C935" s="2" t="str">
        <v>ТУРЦИЯ ТУРЦИЯ</v>
      </c>
      <c r="D935" s="2" t="str">
        <v>Karaman-Эрбааспор</v>
      </c>
      <c r="E935" s="3">
        <f>-</f>
      </c>
      <c r="F935" s="3">
        <f>-</f>
      </c>
      <c r="G935" s="3">
        <f>-</f>
      </c>
      <c r="H935" s="3">
        <f>=ROUND((1000/((1000/E935) + (1000/f935))),2)</f>
      </c>
      <c r="I935" s="3">
        <f>=ROUND((1000/((1000/E935) + (1000/G935))),2)</f>
      </c>
      <c r="J935" s="3">
        <f>=ROUND((1000/((1000/F935) + (1000/G935))),2)</f>
      </c>
    </row>
    <row r="936">
      <c r="A936" s="2" t="str">
        <v>01/05 ВС</v>
      </c>
      <c r="B936" s="2" t="str">
        <v>16:00</v>
      </c>
      <c r="C936" s="2" t="str">
        <v>ТУРЦИЯ ТУРЦИЯ</v>
      </c>
      <c r="D936" s="2" t="str">
        <v>Алтындаг Беледиеспор-Шиле Йылдызспор</v>
      </c>
      <c r="E936" s="3">
        <f>-</f>
      </c>
      <c r="F936" s="3">
        <f>-</f>
      </c>
      <c r="G936" s="3">
        <f>-</f>
      </c>
      <c r="H936" s="3">
        <f>=ROUND((1000/((1000/E936) + (1000/f936))),2)</f>
      </c>
      <c r="I936" s="3">
        <f>=ROUND((1000/((1000/E936) + (1000/G936))),2)</f>
      </c>
      <c r="J936" s="3">
        <f>=ROUND((1000/((1000/F936) + (1000/G936))),2)</f>
      </c>
    </row>
    <row r="937">
      <c r="A937" s="2" t="str">
        <v>01/05 ВС</v>
      </c>
      <c r="B937" s="2" t="str">
        <v>16:00</v>
      </c>
      <c r="C937" s="2" t="str">
        <v>ТУРЦИЯ ТУРЦИЯ</v>
      </c>
      <c r="D937" s="2" t="str">
        <v>Байрампаша-Аксарай Блд.</v>
      </c>
      <c r="E937" s="3">
        <f>-</f>
      </c>
      <c r="F937" s="3">
        <f>-</f>
      </c>
      <c r="G937" s="3">
        <f>-</f>
      </c>
      <c r="H937" s="3">
        <f>=ROUND((1000/((1000/E937) + (1000/f937))),2)</f>
      </c>
      <c r="I937" s="3">
        <f>=ROUND((1000/((1000/E937) + (1000/G937))),2)</f>
      </c>
      <c r="J937" s="3">
        <f>=ROUND((1000/((1000/F937) + (1000/G937))),2)</f>
      </c>
    </row>
    <row r="938">
      <c r="A938" s="2" t="str">
        <v>01/05 ВС</v>
      </c>
      <c r="B938" s="2" t="str">
        <v>16:00</v>
      </c>
      <c r="C938" s="2" t="str">
        <v>ТУРЦИЯ ТУРЦИЯ</v>
      </c>
      <c r="D938" s="2" t="str">
        <v>Искендерюн-Бейоглу Йени</v>
      </c>
      <c r="E938" s="3">
        <f>-</f>
      </c>
      <c r="F938" s="3">
        <f>-</f>
      </c>
      <c r="G938" s="3">
        <f>-</f>
      </c>
      <c r="H938" s="3">
        <f>=ROUND((1000/((1000/E938) + (1000/f938))),2)</f>
      </c>
      <c r="I938" s="3">
        <f>=ROUND((1000/((1000/E938) + (1000/G938))),2)</f>
      </c>
      <c r="J938" s="3">
        <f>=ROUND((1000/((1000/F938) + (1000/G938))),2)</f>
      </c>
    </row>
    <row r="939">
      <c r="A939" s="2" t="str">
        <v>01/05 ВС</v>
      </c>
      <c r="B939" s="2" t="str">
        <v>16:00</v>
      </c>
      <c r="C939" s="2" t="str">
        <v>ТУРЦИЯ ТУРЦИЯ</v>
      </c>
      <c r="D939" s="2" t="str">
        <v>Йени Ордуспор-Дарыджа Генчлербирлии</v>
      </c>
      <c r="E939" s="3">
        <f>-</f>
      </c>
      <c r="F939" s="3">
        <f>-</f>
      </c>
      <c r="G939" s="3">
        <f>-</f>
      </c>
      <c r="H939" s="3">
        <f>=ROUND((1000/((1000/E939) + (1000/f939))),2)</f>
      </c>
      <c r="I939" s="3">
        <f>=ROUND((1000/((1000/E939) + (1000/G939))),2)</f>
      </c>
      <c r="J939" s="3">
        <f>=ROUND((1000/((1000/F939) + (1000/G939))),2)</f>
      </c>
    </row>
    <row r="940">
      <c r="A940" s="2" t="str">
        <v>01/05 ВС</v>
      </c>
      <c r="B940" s="2" t="str">
        <v>16:00</v>
      </c>
      <c r="C940" s="2" t="str">
        <v>ТУРЦИЯ ТУРЦИЯ</v>
      </c>
      <c r="D940" s="2" t="str">
        <v>Йомраспор-Дюзджеспор</v>
      </c>
      <c r="E940" s="3">
        <f>-</f>
      </c>
      <c r="F940" s="3">
        <f>-</f>
      </c>
      <c r="G940" s="3">
        <f>-</f>
      </c>
      <c r="H940" s="3">
        <f>=ROUND((1000/((1000/E940) + (1000/f940))),2)</f>
      </c>
      <c r="I940" s="3">
        <f>=ROUND((1000/((1000/E940) + (1000/G940))),2)</f>
      </c>
      <c r="J940" s="3">
        <f>=ROUND((1000/((1000/F940) + (1000/G940))),2)</f>
      </c>
    </row>
    <row r="941">
      <c r="A941" s="2" t="str">
        <v>01/05 ВС</v>
      </c>
      <c r="B941" s="2" t="str">
        <v>16:00</v>
      </c>
      <c r="C941" s="2" t="str">
        <v>ТУРЦИЯ ТУРЦИЯ</v>
      </c>
      <c r="D941" s="2" t="str">
        <v>Сиирт Озель-Кызылджаболюкспор</v>
      </c>
      <c r="E941" s="3">
        <f>-</f>
      </c>
      <c r="F941" s="3">
        <f>-</f>
      </c>
      <c r="G941" s="3">
        <f>-</f>
      </c>
      <c r="H941" s="3">
        <f>=ROUND((1000/((1000/E941) + (1000/f941))),2)</f>
      </c>
      <c r="I941" s="3">
        <f>=ROUND((1000/((1000/E941) + (1000/G941))),2)</f>
      </c>
      <c r="J941" s="3">
        <f>=ROUND((1000/((1000/F941) + (1000/G941))),2)</f>
      </c>
    </row>
    <row r="942">
      <c r="A942" s="2" t="str">
        <v>01/05 ВС</v>
      </c>
      <c r="B942" s="2" t="str">
        <v>16:00</v>
      </c>
      <c r="C942" s="2" t="str">
        <v>ТУРЦИЯ ТУРЦИЯ</v>
      </c>
      <c r="D942" s="2" t="str">
        <v>ФК Игдир-Хаджеттепе</v>
      </c>
      <c r="E942" s="3">
        <f>-</f>
      </c>
      <c r="F942" s="3">
        <f>-</f>
      </c>
      <c r="G942" s="3">
        <f>-</f>
      </c>
      <c r="H942" s="3">
        <f>=ROUND((1000/((1000/E942) + (1000/f942))),2)</f>
      </c>
      <c r="I942" s="3">
        <f>=ROUND((1000/((1000/E942) + (1000/G942))),2)</f>
      </c>
      <c r="J942" s="3">
        <f>=ROUND((1000/((1000/F942) + (1000/G942))),2)</f>
      </c>
    </row>
    <row r="943">
      <c r="A943" s="2" t="str">
        <v>01/05 ВС</v>
      </c>
      <c r="B943" s="2" t="str">
        <v>16:00</v>
      </c>
      <c r="C943" s="2" t="str">
        <v>ТУРЦИЯ ТУРЦИЯ</v>
      </c>
      <c r="D943" s="2" t="str">
        <v>Чаршамбаспор-Малатья</v>
      </c>
      <c r="E943" s="3">
        <f>-</f>
      </c>
      <c r="F943" s="3">
        <f>-</f>
      </c>
      <c r="G943" s="3">
        <f>-</f>
      </c>
      <c r="H943" s="3">
        <f>=ROUND((1000/((1000/E943) + (1000/f943))),2)</f>
      </c>
      <c r="I943" s="3">
        <f>=ROUND((1000/((1000/E943) + (1000/G943))),2)</f>
      </c>
      <c r="J943" s="3">
        <f>=ROUND((1000/((1000/F943) + (1000/G943))),2)</f>
      </c>
    </row>
    <row r="944">
      <c r="A944" s="2" t="str">
        <v>01/05 ВС</v>
      </c>
      <c r="B944" s="2" t="str">
        <v>16:00</v>
      </c>
      <c r="C944" s="2" t="str">
        <v>ТУРЦИЯ ТУРЦИЯ</v>
      </c>
      <c r="D944" s="2" t="str">
        <v>Элязы-Кушадасыспор</v>
      </c>
      <c r="E944" s="3">
        <f>-</f>
      </c>
      <c r="F944" s="3">
        <f>-</f>
      </c>
      <c r="G944" s="3">
        <f>-</f>
      </c>
      <c r="H944" s="3">
        <f>=ROUND((1000/((1000/E944) + (1000/f944))),2)</f>
      </c>
      <c r="I944" s="3">
        <f>=ROUND((1000/((1000/E944) + (1000/G944))),2)</f>
      </c>
      <c r="J944" s="3">
        <f>=ROUND((1000/((1000/F944) + (1000/G944))),2)</f>
      </c>
    </row>
    <row r="945">
      <c r="A945" s="2" t="str">
        <v>01/05 ВС</v>
      </c>
      <c r="B945" s="2" t="str">
        <v>16:00</v>
      </c>
      <c r="C945" s="2" t="str">
        <v>ТУРЦИЯ ТУРЦИЯ</v>
      </c>
      <c r="D945" s="2" t="str">
        <v>Агри 1970-Кириккале</v>
      </c>
      <c r="E945" s="3">
        <f>-</f>
      </c>
      <c r="F945" s="3">
        <f>-</f>
      </c>
      <c r="G945" s="3">
        <f>-</f>
      </c>
      <c r="H945" s="3">
        <f>=ROUND((1000/((1000/E945) + (1000/f945))),2)</f>
      </c>
      <c r="I945" s="3">
        <f>=ROUND((1000/((1000/E945) + (1000/G945))),2)</f>
      </c>
      <c r="J945" s="3">
        <f>=ROUND((1000/((1000/F945) + (1000/G945))),2)</f>
      </c>
    </row>
    <row r="946">
      <c r="A946" s="2" t="str">
        <v>01/05 ВС</v>
      </c>
      <c r="B946" s="2" t="str">
        <v>16:00</v>
      </c>
      <c r="C946" s="2" t="str">
        <v>ТУРЦИЯ ТУРЦИЯ</v>
      </c>
      <c r="D946" s="2" t="str">
        <v>Гумусханеспор-Ордуспор</v>
      </c>
      <c r="E946" s="3">
        <f>-</f>
      </c>
      <c r="F946" s="3">
        <f>-</f>
      </c>
      <c r="G946" s="3">
        <f>-</f>
      </c>
      <c r="H946" s="3">
        <f>=ROUND((1000/((1000/E946) + (1000/f946))),2)</f>
      </c>
      <c r="I946" s="3">
        <f>=ROUND((1000/((1000/E946) + (1000/G946))),2)</f>
      </c>
      <c r="J946" s="3">
        <f>=ROUND((1000/((1000/F946) + (1000/G946))),2)</f>
      </c>
    </row>
    <row r="947">
      <c r="A947" s="2" t="str">
        <v>01/05 ВС</v>
      </c>
      <c r="B947" s="2" t="str">
        <v>16:00</v>
      </c>
      <c r="C947" s="2" t="str">
        <v>ТУРЦИЯ ТУРЦИЯ</v>
      </c>
      <c r="D947" s="2" t="str">
        <v>Джейханспор-Кардемир Карабюк</v>
      </c>
      <c r="E947" s="3">
        <f>-</f>
      </c>
      <c r="F947" s="3">
        <f>-</f>
      </c>
      <c r="G947" s="3">
        <f>-</f>
      </c>
      <c r="H947" s="3">
        <f>=ROUND((1000/((1000/E947) + (1000/f947))),2)</f>
      </c>
      <c r="I947" s="3">
        <f>=ROUND((1000/((1000/E947) + (1000/G947))),2)</f>
      </c>
      <c r="J947" s="3">
        <f>=ROUND((1000/((1000/F947) + (1000/G947))),2)</f>
      </c>
    </row>
    <row r="948">
      <c r="A948" s="2" t="str">
        <v>01/05 ВС</v>
      </c>
      <c r="B948" s="2" t="str">
        <v>16:00</v>
      </c>
      <c r="C948" s="2" t="str">
        <v>ТУРЦИЯ ТУРЦИЯ</v>
      </c>
      <c r="D948" s="2" t="str">
        <v>Каракопру-Мардин ББ</v>
      </c>
      <c r="E948" s="3">
        <f>-</f>
      </c>
      <c r="F948" s="3">
        <f>-</f>
      </c>
      <c r="G948" s="3">
        <f>-</f>
      </c>
      <c r="H948" s="3">
        <f>=ROUND((1000/((1000/E948) + (1000/f948))),2)</f>
      </c>
      <c r="I948" s="3">
        <f>=ROUND((1000/((1000/E948) + (1000/G948))),2)</f>
      </c>
      <c r="J948" s="3">
        <f>=ROUND((1000/((1000/F948) + (1000/G948))),2)</f>
      </c>
    </row>
    <row r="949">
      <c r="A949" s="2" t="str">
        <v>01/05 ВС</v>
      </c>
      <c r="B949" s="2" t="str">
        <v>16:00</v>
      </c>
      <c r="C949" s="2" t="str">
        <v>ТУРЦИЯ ТУРЦИЯ</v>
      </c>
      <c r="D949" s="2" t="str">
        <v>Каршияка-Беледие Дериндже</v>
      </c>
      <c r="E949" s="3">
        <f>-</f>
      </c>
      <c r="F949" s="3">
        <f>-</f>
      </c>
      <c r="G949" s="3">
        <f>-</f>
      </c>
      <c r="H949" s="3">
        <f>=ROUND((1000/((1000/E949) + (1000/f949))),2)</f>
      </c>
      <c r="I949" s="3">
        <f>=ROUND((1000/((1000/E949) + (1000/G949))),2)</f>
      </c>
      <c r="J949" s="3">
        <f>=ROUND((1000/((1000/F949) + (1000/G949))),2)</f>
      </c>
    </row>
    <row r="950">
      <c r="A950" s="2" t="str">
        <v>01/05 ВС</v>
      </c>
      <c r="B950" s="2" t="str">
        <v>16:00</v>
      </c>
      <c r="C950" s="2" t="str">
        <v>ТУРЦИЯ ТУРЦИЯ</v>
      </c>
      <c r="D950" s="2" t="str">
        <v>Модафенспор-Эрокспор</v>
      </c>
      <c r="E950" s="3">
        <f>-</f>
      </c>
      <c r="F950" s="3">
        <f>-</f>
      </c>
      <c r="G950" s="3">
        <f>-</f>
      </c>
      <c r="H950" s="3">
        <f>=ROUND((1000/((1000/E950) + (1000/f950))),2)</f>
      </c>
      <c r="I950" s="3">
        <f>=ROUND((1000/((1000/E950) + (1000/G950))),2)</f>
      </c>
      <c r="J950" s="3">
        <f>=ROUND((1000/((1000/F950) + (1000/G950))),2)</f>
      </c>
    </row>
    <row r="951">
      <c r="A951" s="2" t="str">
        <v>01/05 ВС</v>
      </c>
      <c r="B951" s="2" t="str">
        <v>16:00</v>
      </c>
      <c r="C951" s="2" t="str">
        <v>ТУРЦИЯ ТУРЦИЯ</v>
      </c>
      <c r="D951" s="2" t="str">
        <v>Тепеджик-Офспор</v>
      </c>
      <c r="E951" s="3">
        <f>-</f>
      </c>
      <c r="F951" s="3">
        <f>-</f>
      </c>
      <c r="G951" s="3">
        <f>-</f>
      </c>
      <c r="H951" s="3">
        <f>=ROUND((1000/((1000/E951) + (1000/f951))),2)</f>
      </c>
      <c r="I951" s="3">
        <f>=ROUND((1000/((1000/E951) + (1000/G951))),2)</f>
      </c>
      <c r="J951" s="3">
        <f>=ROUND((1000/((1000/F951) + (1000/G951))),2)</f>
      </c>
    </row>
    <row r="952">
      <c r="A952" s="2" t="str">
        <v>01/05 ВС</v>
      </c>
      <c r="B952" s="2" t="str">
        <v>16:00</v>
      </c>
      <c r="C952" s="2" t="str">
        <v>ТУРЦИЯ ТУРЦИЯ</v>
      </c>
      <c r="D952" s="2" t="str">
        <v>Фетхиеспор-Эдирнеспор</v>
      </c>
      <c r="E952" s="3">
        <f>-</f>
      </c>
      <c r="F952" s="3">
        <f>-</f>
      </c>
      <c r="G952" s="3">
        <f>-</f>
      </c>
      <c r="H952" s="3">
        <f>=ROUND((1000/((1000/E952) + (1000/f952))),2)</f>
      </c>
      <c r="I952" s="3">
        <f>=ROUND((1000/((1000/E952) + (1000/G952))),2)</f>
      </c>
      <c r="J952" s="3">
        <f>=ROUND((1000/((1000/F952) + (1000/G952))),2)</f>
      </c>
    </row>
    <row r="953">
      <c r="A953" s="2" t="str">
        <v>01/05 ВС</v>
      </c>
      <c r="B953" s="2" t="str">
        <v>16:00</v>
      </c>
      <c r="C953" s="2" t="str">
        <v>ТУРЦИЯ ТУРЦИЯ</v>
      </c>
      <c r="D953" s="2" t="str">
        <v>Чанкая-Ичель</v>
      </c>
      <c r="E953" s="3">
        <f>-</f>
      </c>
      <c r="F953" s="3">
        <f>-</f>
      </c>
      <c r="G953" s="3">
        <f>-</f>
      </c>
      <c r="H953" s="3">
        <f>=ROUND((1000/((1000/E953) + (1000/f953))),2)</f>
      </c>
      <c r="I953" s="3">
        <f>=ROUND((1000/((1000/E953) + (1000/G953))),2)</f>
      </c>
      <c r="J953" s="3">
        <f>=ROUND((1000/((1000/F953) + (1000/G953))),2)</f>
      </c>
    </row>
    <row r="954">
      <c r="A954" s="2" t="str">
        <v>01/05 ВС</v>
      </c>
      <c r="B954" s="2" t="str">
        <v>17:00</v>
      </c>
      <c r="C954" s="2" t="str">
        <v>УГАНДА УГАНДА</v>
      </c>
      <c r="D954" s="2" t="str">
        <v>Arua Hill-Мбарара Сити</v>
      </c>
      <c r="E954" s="3">
        <f>-</f>
      </c>
      <c r="F954" s="3">
        <f>-</f>
      </c>
      <c r="G954" s="3">
        <f>-</f>
      </c>
      <c r="H954" s="3">
        <f>=ROUND((1000/((1000/E954) + (1000/f954))),2)</f>
      </c>
      <c r="I954" s="3">
        <f>=ROUND((1000/((1000/E954) + (1000/G954))),2)</f>
      </c>
      <c r="J954" s="3">
        <f>=ROUND((1000/((1000/F954) + (1000/G954))),2)</f>
      </c>
    </row>
    <row r="955">
      <c r="A955" s="2" t="str">
        <v>01/05 ВС</v>
      </c>
      <c r="B955" s="2" t="str">
        <v>17:30</v>
      </c>
      <c r="C955" s="2" t="str">
        <v>УЗБЕКИСТАН УЗБЕКИСТАН</v>
      </c>
      <c r="D955" s="2" t="str">
        <v>Кызылкум-Навбахор</v>
      </c>
      <c r="E955" s="3">
        <f>-</f>
      </c>
      <c r="F955" s="3">
        <f>-</f>
      </c>
      <c r="G955" s="3">
        <f>-</f>
      </c>
      <c r="H955" s="3">
        <f>=ROUND((1000/((1000/E955) + (1000/f955))),2)</f>
      </c>
      <c r="I955" s="3">
        <f>=ROUND((1000/((1000/E955) + (1000/G955))),2)</f>
      </c>
      <c r="J955" s="3">
        <f>=ROUND((1000/((1000/F955) + (1000/G955))),2)</f>
      </c>
    </row>
    <row r="956">
      <c r="A956" s="2" t="str">
        <v>01/05 ВС</v>
      </c>
      <c r="B956" s="2" t="str">
        <v>17:30</v>
      </c>
      <c r="C956" s="2" t="str">
        <v>УЗБЕКИСТАН УЗБЕКИСТАН</v>
      </c>
      <c r="D956" s="2" t="str">
        <v>Локомотив Ташкент-Сурхан</v>
      </c>
      <c r="E956" s="3">
        <f>-</f>
      </c>
      <c r="F956" s="3">
        <f>-</f>
      </c>
      <c r="G956" s="3">
        <f>-</f>
      </c>
      <c r="H956" s="3">
        <f>=ROUND((1000/((1000/E956) + (1000/f956))),2)</f>
      </c>
      <c r="I956" s="3">
        <f>=ROUND((1000/((1000/E956) + (1000/G956))),2)</f>
      </c>
      <c r="J956" s="3">
        <f>=ROUND((1000/((1000/F956) + (1000/G956))),2)</f>
      </c>
    </row>
    <row r="957">
      <c r="A957" s="2" t="str">
        <v>01/05 ВС</v>
      </c>
      <c r="B957" s="2" t="str">
        <v>17:35</v>
      </c>
      <c r="C957" s="2" t="str">
        <v>УЗБЕКИСТАН УЗБЕКИСТАН</v>
      </c>
      <c r="D957" s="2" t="str">
        <v>Согдиана-Металлург Бекабад</v>
      </c>
      <c r="E957" s="3">
        <f>-</f>
      </c>
      <c r="F957" s="3">
        <f>-</f>
      </c>
      <c r="G957" s="3">
        <f>-</f>
      </c>
      <c r="H957" s="3">
        <f>=ROUND((1000/((1000/E957) + (1000/f957))),2)</f>
      </c>
      <c r="I957" s="3">
        <f>=ROUND((1000/((1000/E957) + (1000/G957))),2)</f>
      </c>
      <c r="J957" s="3">
        <f>=ROUND((1000/((1000/F957) + (1000/G957))),2)</f>
      </c>
    </row>
    <row r="958">
      <c r="A958" s="2" t="str">
        <v>01/05 ВС</v>
      </c>
      <c r="B958" s="2" t="str">
        <v>19:00</v>
      </c>
      <c r="C958" s="2" t="str">
        <v>УЭЛЬС УЭЛЬС</v>
      </c>
      <c r="D958" s="2" t="str">
        <v>Пенибонт-Нью-Сейнтс</v>
      </c>
      <c r="E958" s="3">
        <f>-</f>
      </c>
      <c r="F958" s="3">
        <f>-</f>
      </c>
      <c r="G958" s="3">
        <f>-</f>
      </c>
      <c r="H958" s="3">
        <f>=ROUND((1000/((1000/E958) + (1000/f958))),2)</f>
      </c>
      <c r="I958" s="3">
        <f>=ROUND((1000/((1000/E958) + (1000/G958))),2)</f>
      </c>
      <c r="J958" s="3">
        <f>=ROUND((1000/((1000/F958) + (1000/G958))),2)</f>
      </c>
    </row>
    <row r="959">
      <c r="A959" s="2" t="str">
        <v>01/05 ВС</v>
      </c>
      <c r="B959" s="2" t="str">
        <v>18:15</v>
      </c>
      <c r="C959" s="2" t="str">
        <v>ФАРЕРСКИЕ ОСТРОВА ФАРЕРСКИЕ ОСТРОВА</v>
      </c>
      <c r="D959" s="2" t="str">
        <v>ХБ Торсхавн-07 Вестур Сорвагур</v>
      </c>
      <c r="E959" s="3">
        <f>-</f>
      </c>
      <c r="F959" s="3">
        <f>-</f>
      </c>
      <c r="G959" s="3">
        <f>-</f>
      </c>
      <c r="H959" s="3">
        <f>=ROUND((1000/((1000/E959) + (1000/f959))),2)</f>
      </c>
      <c r="I959" s="3">
        <f>=ROUND((1000/((1000/E959) + (1000/G959))),2)</f>
      </c>
      <c r="J959" s="3">
        <f>=ROUND((1000/((1000/F959) + (1000/G959))),2)</f>
      </c>
    </row>
    <row r="960">
      <c r="A960" s="2" t="str">
        <v>01/05 ВС</v>
      </c>
      <c r="B960" s="2" t="str">
        <v>19:00</v>
      </c>
      <c r="C960" s="2" t="str">
        <v>ФАРЕРСКИЕ ОСТРОВА ФАРЕРСКИЕ ОСТРОВА</v>
      </c>
      <c r="D960" s="2" t="str">
        <v>Рунавик-Скала Итроттарфелаг</v>
      </c>
      <c r="E960" s="3">
        <f>-</f>
      </c>
      <c r="F960" s="3">
        <f>-</f>
      </c>
      <c r="G960" s="3">
        <f>-</f>
      </c>
      <c r="H960" s="3">
        <f>=ROUND((1000/((1000/E960) + (1000/f960))),2)</f>
      </c>
      <c r="I960" s="3">
        <f>=ROUND((1000/((1000/E960) + (1000/G960))),2)</f>
      </c>
      <c r="J960" s="3">
        <f>=ROUND((1000/((1000/F960) + (1000/G960))),2)</f>
      </c>
    </row>
    <row r="961">
      <c r="A961" s="2" t="str">
        <v>01/05 ВС</v>
      </c>
      <c r="B961" s="2" t="str">
        <v>07:00</v>
      </c>
      <c r="C961" s="2" t="str">
        <v>ФИДЖИ ФИДЖИ</v>
      </c>
      <c r="D961" s="2" t="str">
        <v>Лаутока-Рева</v>
      </c>
      <c r="E961" s="3">
        <f>-</f>
      </c>
      <c r="F961" s="3">
        <f>-</f>
      </c>
      <c r="G961" s="3">
        <f>-</f>
      </c>
      <c r="H961" s="3">
        <f>=ROUND((1000/((1000/E961) + (1000/f961))),2)</f>
      </c>
      <c r="I961" s="3">
        <f>=ROUND((1000/((1000/E961) + (1000/G961))),2)</f>
      </c>
      <c r="J961" s="3">
        <f>=ROUND((1000/((1000/F961) + (1000/G961))),2)</f>
      </c>
    </row>
    <row r="962">
      <c r="A962" s="2" t="str">
        <v>01/05 ВС</v>
      </c>
      <c r="B962" s="2" t="str">
        <v>19:00</v>
      </c>
      <c r="C962" s="2" t="str">
        <v>ФИНЛЯНДИЯ ФИНЛЯНДИЯ</v>
      </c>
      <c r="D962" s="2" t="str">
        <v>Ильвес 2-Ильвес</v>
      </c>
      <c r="E962" s="3">
        <f>-</f>
      </c>
      <c r="F962" s="3">
        <f>-</f>
      </c>
      <c r="G962" s="3">
        <f>-</f>
      </c>
      <c r="H962" s="3">
        <f>=ROUND((1000/((1000/E962) + (1000/f962))),2)</f>
      </c>
      <c r="I962" s="3">
        <f>=ROUND((1000/((1000/E962) + (1000/G962))),2)</f>
      </c>
      <c r="J962" s="3">
        <f>=ROUND((1000/((1000/F962) + (1000/G962))),2)</f>
      </c>
    </row>
    <row r="963">
      <c r="A963" s="2" t="str">
        <v>01/05 ВС</v>
      </c>
      <c r="B963" s="2" t="str">
        <v>19:00</v>
      </c>
      <c r="C963" s="2" t="str">
        <v>ХОРВАТИЯ ХОРВАТИЯ</v>
      </c>
      <c r="D963" s="2" t="str">
        <v>Осиек-Истра 1961</v>
      </c>
      <c r="E963" s="3">
        <f>1.33</f>
      </c>
      <c r="F963" s="3">
        <f>4.33</f>
      </c>
      <c r="G963" s="3">
        <f>7.00</f>
      </c>
      <c r="H963" s="3">
        <f>=ROUND((1000/((1000/E963) + (1000/f963))),2)</f>
      </c>
      <c r="I963" s="3">
        <f>=ROUND((1000/((1000/E963) + (1000/G963))),2)</f>
      </c>
      <c r="J963" s="3">
        <f>=ROUND((1000/((1000/F963) + (1000/G963))),2)</f>
      </c>
    </row>
    <row r="964">
      <c r="A964" s="2" t="str">
        <v>01/05 ВС</v>
      </c>
      <c r="B964" s="2" t="str">
        <v>21:05</v>
      </c>
      <c r="C964" s="2" t="str">
        <v>ХОРВАТИЯ ХОРВАТИЯ</v>
      </c>
      <c r="D964" s="2" t="str">
        <v>Локомотива Загреб-Динамо Загреб</v>
      </c>
      <c r="E964" s="3">
        <f>6.50</f>
      </c>
      <c r="F964" s="3">
        <f>4.33</f>
      </c>
      <c r="G964" s="3">
        <f>1.40</f>
      </c>
      <c r="H964" s="3">
        <f>=ROUND((1000/((1000/E964) + (1000/f964))),2)</f>
      </c>
      <c r="I964" s="3">
        <f>=ROUND((1000/((1000/E964) + (1000/G964))),2)</f>
      </c>
      <c r="J964" s="3">
        <f>=ROUND((1000/((1000/F964) + (1000/G964))),2)</f>
      </c>
    </row>
    <row r="965">
      <c r="A965" s="2" t="str">
        <v>01/05 ВС</v>
      </c>
      <c r="B965" s="2" t="str">
        <v>19:00</v>
      </c>
      <c r="C965" s="2" t="str">
        <v>ХОРВАТИЯ ХОРВАТИЯ</v>
      </c>
      <c r="D965" s="2" t="str">
        <v>Сесвете-Хорватия Змиявцы</v>
      </c>
      <c r="E965" s="3">
        <f>-</f>
      </c>
      <c r="F965" s="3">
        <f>-</f>
      </c>
      <c r="G965" s="3">
        <f>-</f>
      </c>
      <c r="H965" s="3">
        <f>=ROUND((1000/((1000/E965) + (1000/f965))),2)</f>
      </c>
      <c r="I965" s="3">
        <f>=ROUND((1000/((1000/E965) + (1000/G965))),2)</f>
      </c>
      <c r="J965" s="3">
        <f>=ROUND((1000/((1000/F965) + (1000/G965))),2)</f>
      </c>
    </row>
    <row r="966" xml:space="preserve">
      <c r="A966" s="2" t="str">
        <v>01/05 ВС</v>
      </c>
      <c r="B966" s="2" t="str" xml:space="preserve">
        <v xml:space="preserve">13:00_x000d_
TKP</v>
      </c>
      <c r="C966" s="2" t="str">
        <v>ХОРВАТИЯ ХОРВАТИЯ</v>
      </c>
      <c r="D966" s="2" t="str">
        <v>Гай Маче-Бистра</v>
      </c>
      <c r="E966" s="3">
        <f>-</f>
      </c>
      <c r="F966" s="3">
        <f>-</f>
      </c>
      <c r="G966" s="3">
        <f>-</f>
      </c>
      <c r="H966" s="3">
        <f>=ROUND((1000/((1000/E966) + (1000/f966))),2)</f>
      </c>
      <c r="I966" s="3">
        <f>=ROUND((1000/((1000/E966) + (1000/G966))),2)</f>
      </c>
      <c r="J966" s="3">
        <f>=ROUND((1000/((1000/F966) + (1000/G966))),2)</f>
      </c>
    </row>
    <row r="967" xml:space="preserve">
      <c r="A967" s="2" t="str">
        <v>01/05 ВС</v>
      </c>
      <c r="B967" s="2" t="str" xml:space="preserve">
        <v xml:space="preserve">19:00_x000d_
TKP</v>
      </c>
      <c r="C967" s="2" t="str">
        <v>ХОРВАТИЯ ХОРВАТИЯ</v>
      </c>
      <c r="D967" s="2" t="str">
        <v>Неретва-Ускок</v>
      </c>
      <c r="E967" s="3">
        <f>-</f>
      </c>
      <c r="F967" s="3">
        <f>-</f>
      </c>
      <c r="G967" s="3">
        <f>-</f>
      </c>
      <c r="H967" s="3">
        <f>=ROUND((1000/((1000/E967) + (1000/f967))),2)</f>
      </c>
      <c r="I967" s="3">
        <f>=ROUND((1000/((1000/E967) + (1000/G967))),2)</f>
      </c>
      <c r="J967" s="3">
        <f>=ROUND((1000/((1000/F967) + (1000/G967))),2)</f>
      </c>
    </row>
    <row r="968" xml:space="preserve">
      <c r="A968" s="2" t="str">
        <v>01/05 ВС</v>
      </c>
      <c r="B968" s="2" t="str" xml:space="preserve">
        <v xml:space="preserve">19:00_x000d_
TKP</v>
      </c>
      <c r="C968" s="2" t="str">
        <v>ХОРВАТИЯ ХОРВАТИЯ</v>
      </c>
      <c r="D968" s="2" t="str">
        <v>ОСК Оток-Камень Подбаблье</v>
      </c>
      <c r="E968" s="3">
        <f>-</f>
      </c>
      <c r="F968" s="3">
        <f>-</f>
      </c>
      <c r="G968" s="3">
        <f>-</f>
      </c>
      <c r="H968" s="3">
        <f>=ROUND((1000/((1000/E968) + (1000/f968))),2)</f>
      </c>
      <c r="I968" s="3">
        <f>=ROUND((1000/((1000/E968) + (1000/G968))),2)</f>
      </c>
      <c r="J968" s="3">
        <f>=ROUND((1000/((1000/F968) + (1000/G968))),2)</f>
      </c>
    </row>
    <row r="969" xml:space="preserve">
      <c r="A969" s="2" t="str">
        <v>01/05 ВС</v>
      </c>
      <c r="B969" s="2" t="str" xml:space="preserve">
        <v xml:space="preserve">19:00_x000d_
TKP</v>
      </c>
      <c r="C969" s="2" t="str">
        <v>ХОРВАТИЯ ХОРВАТИЯ</v>
      </c>
      <c r="D969" s="2" t="str">
        <v>Слога Мравинце-Хрватски Витез Поседарье</v>
      </c>
      <c r="E969" s="3">
        <f>-</f>
      </c>
      <c r="F969" s="3">
        <f>-</f>
      </c>
      <c r="G969" s="3">
        <f>-</f>
      </c>
      <c r="H969" s="3">
        <f>=ROUND((1000/((1000/E969) + (1000/f969))),2)</f>
      </c>
      <c r="I969" s="3">
        <f>=ROUND((1000/((1000/E969) + (1000/G969))),2)</f>
      </c>
      <c r="J969" s="3">
        <f>=ROUND((1000/((1000/F969) + (1000/G969))),2)</f>
      </c>
    </row>
    <row r="970" xml:space="preserve">
      <c r="A970" s="2" t="str">
        <v>01/05 ВС</v>
      </c>
      <c r="B970" s="2" t="str" xml:space="preserve">
        <v xml:space="preserve">19:00_x000d_
TKP</v>
      </c>
      <c r="C970" s="2" t="str">
        <v>ХОРВАТИЯ ХОРВАТИЯ</v>
      </c>
      <c r="D970" s="2" t="str">
        <v>Хрваце-Змай Макарска</v>
      </c>
      <c r="E970" s="3">
        <f>-</f>
      </c>
      <c r="F970" s="3">
        <f>-</f>
      </c>
      <c r="G970" s="3">
        <f>-</f>
      </c>
      <c r="H970" s="3">
        <f>=ROUND((1000/((1000/E970) + (1000/f970))),2)</f>
      </c>
      <c r="I970" s="3">
        <f>=ROUND((1000/((1000/E970) + (1000/G970))),2)</f>
      </c>
      <c r="J970" s="3">
        <f>=ROUND((1000/((1000/F970) + (1000/G970))),2)</f>
      </c>
    </row>
    <row r="971" xml:space="preserve">
      <c r="A971" s="2" t="str">
        <v>01/05 ВС</v>
      </c>
      <c r="B971" s="2" t="str" xml:space="preserve">
        <v xml:space="preserve">19:00_x000d_
TKP</v>
      </c>
      <c r="C971" s="2" t="str">
        <v>ХОРВАТИЯ ХОРВАТИЯ</v>
      </c>
      <c r="D971" s="2" t="str">
        <v>Горня Врба-Славия Плетерница</v>
      </c>
      <c r="E971" s="3">
        <f>-</f>
      </c>
      <c r="F971" s="3">
        <f>-</f>
      </c>
      <c r="G971" s="3">
        <f>-</f>
      </c>
      <c r="H971" s="3">
        <f>=ROUND((1000/((1000/E971) + (1000/f971))),2)</f>
      </c>
      <c r="I971" s="3">
        <f>=ROUND((1000/((1000/E971) + (1000/G971))),2)</f>
      </c>
      <c r="J971" s="3">
        <f>=ROUND((1000/((1000/F971) + (1000/G971))),2)</f>
      </c>
    </row>
    <row r="972" xml:space="preserve">
      <c r="A972" s="2" t="str">
        <v>01/05 ВС</v>
      </c>
      <c r="B972" s="2" t="str" xml:space="preserve">
        <v xml:space="preserve">15:00_x000d_
TKP</v>
      </c>
      <c r="C972" s="2" t="str">
        <v>ХОРВАТИЯ ХОРВАТИЯ</v>
      </c>
      <c r="D972" s="2" t="str">
        <v>Задар (Ж)-Аграм Загреб (Ж)</v>
      </c>
      <c r="E972" s="3">
        <f>-</f>
      </c>
      <c r="F972" s="3">
        <f>-</f>
      </c>
      <c r="G972" s="3">
        <f>-</f>
      </c>
      <c r="H972" s="3">
        <f>=ROUND((1000/((1000/E972) + (1000/f972))),2)</f>
      </c>
      <c r="I972" s="3">
        <f>=ROUND((1000/((1000/E972) + (1000/G972))),2)</f>
      </c>
      <c r="J972" s="3">
        <f>=ROUND((1000/((1000/F972) + (1000/G972))),2)</f>
      </c>
    </row>
    <row r="973" xml:space="preserve">
      <c r="A973" s="2" t="str">
        <v>01/05 ВС</v>
      </c>
      <c r="B973" s="2" t="str" xml:space="preserve">
        <v xml:space="preserve">15:00_x000d_
TKP</v>
      </c>
      <c r="C973" s="2" t="str">
        <v>ХОРВАТИЯ ХОРВАТИЯ</v>
      </c>
      <c r="D973" s="2" t="str">
        <v>Неретва (Ж)-Medimurje Cakovec (Ж)</v>
      </c>
      <c r="E973" s="3">
        <f>-</f>
      </c>
      <c r="F973" s="3">
        <f>-</f>
      </c>
      <c r="G973" s="3">
        <f>-</f>
      </c>
      <c r="H973" s="3">
        <f>=ROUND((1000/((1000/E973) + (1000/f973))),2)</f>
      </c>
      <c r="I973" s="3">
        <f>=ROUND((1000/((1000/E973) + (1000/G973))),2)</f>
      </c>
      <c r="J973" s="3">
        <f>=ROUND((1000/((1000/F973) + (1000/G973))),2)</f>
      </c>
    </row>
    <row r="974" xml:space="preserve">
      <c r="A974" s="2" t="str">
        <v>01/05 ВС</v>
      </c>
      <c r="B974" s="2" t="str" xml:space="preserve">
        <v xml:space="preserve">18:00_x000d_
TKP</v>
      </c>
      <c r="C974" s="2" t="str">
        <v>ХОРВАТИЯ ХОРВАТИЯ</v>
      </c>
      <c r="D974" s="2" t="str">
        <v>Риека (Ж)-ЖНК Сплит (Ж)</v>
      </c>
      <c r="E974" s="3">
        <f>-</f>
      </c>
      <c r="F974" s="3">
        <f>-</f>
      </c>
      <c r="G974" s="3">
        <f>-</f>
      </c>
      <c r="H974" s="3">
        <f>=ROUND((1000/((1000/E974) + (1000/f974))),2)</f>
      </c>
      <c r="I974" s="3">
        <f>=ROUND((1000/((1000/E974) + (1000/G974))),2)</f>
      </c>
      <c r="J974" s="3">
        <f>=ROUND((1000/((1000/F974) + (1000/G974))),2)</f>
      </c>
    </row>
    <row r="975">
      <c r="A975" s="2" t="str">
        <v>01/05 ВС</v>
      </c>
      <c r="B975" s="2" t="str">
        <v>18:30</v>
      </c>
      <c r="C975" s="2" t="str">
        <v>ЧЕРНОГОРИЯ ЧЕРНОГОРИЯ</v>
      </c>
      <c r="D975" s="2" t="str">
        <v>Бокель-Цетине</v>
      </c>
      <c r="E975" s="3">
        <f>-</f>
      </c>
      <c r="F975" s="3">
        <f>-</f>
      </c>
      <c r="G975" s="3">
        <f>-</f>
      </c>
      <c r="H975" s="3">
        <f>=ROUND((1000/((1000/E975) + (1000/f975))),2)</f>
      </c>
      <c r="I975" s="3">
        <f>=ROUND((1000/((1000/E975) + (1000/G975))),2)</f>
      </c>
      <c r="J975" s="3">
        <f>=ROUND((1000/((1000/F975) + (1000/G975))),2)</f>
      </c>
    </row>
    <row r="976">
      <c r="A976" s="2" t="str">
        <v>01/05 ВС</v>
      </c>
      <c r="B976" s="2" t="str">
        <v>18:30</v>
      </c>
      <c r="C976" s="2" t="str">
        <v>ЧЕРНОГОРИЯ ЧЕРНОГОРИЯ</v>
      </c>
      <c r="D976" s="2" t="str">
        <v>Единство-Грбаль</v>
      </c>
      <c r="E976" s="3">
        <f>-</f>
      </c>
      <c r="F976" s="3">
        <f>-</f>
      </c>
      <c r="G976" s="3">
        <f>-</f>
      </c>
      <c r="H976" s="3">
        <f>=ROUND((1000/((1000/E976) + (1000/f976))),2)</f>
      </c>
      <c r="I976" s="3">
        <f>=ROUND((1000/((1000/E976) + (1000/G976))),2)</f>
      </c>
      <c r="J976" s="3">
        <f>=ROUND((1000/((1000/F976) + (1000/G976))),2)</f>
      </c>
    </row>
    <row r="977">
      <c r="A977" s="2" t="str">
        <v>01/05 ВС</v>
      </c>
      <c r="B977" s="2" t="str">
        <v>18:30</v>
      </c>
      <c r="C977" s="2" t="str">
        <v>ЧЕРНОГОРИЯ ЧЕРНОГОРИЯ</v>
      </c>
      <c r="D977" s="2" t="str">
        <v>Игало-Беране</v>
      </c>
      <c r="E977" s="3">
        <f>-</f>
      </c>
      <c r="F977" s="3">
        <f>-</f>
      </c>
      <c r="G977" s="3">
        <f>-</f>
      </c>
      <c r="H977" s="3">
        <f>=ROUND((1000/((1000/E977) + (1000/f977))),2)</f>
      </c>
      <c r="I977" s="3">
        <f>=ROUND((1000/((1000/E977) + (1000/G977))),2)</f>
      </c>
      <c r="J977" s="3">
        <f>=ROUND((1000/((1000/F977) + (1000/G977))),2)</f>
      </c>
    </row>
    <row r="978">
      <c r="A978" s="2" t="str">
        <v>01/05 ВС</v>
      </c>
      <c r="B978" s="2" t="str">
        <v>18:30</v>
      </c>
      <c r="C978" s="2" t="str">
        <v>ЧЕРНОГОРИЯ ЧЕРНОГОРИЯ</v>
      </c>
      <c r="D978" s="2" t="str">
        <v>Титоград-Ком Подгорица</v>
      </c>
      <c r="E978" s="3">
        <f>-</f>
      </c>
      <c r="F978" s="3">
        <f>-</f>
      </c>
      <c r="G978" s="3">
        <f>-</f>
      </c>
      <c r="H978" s="3">
        <f>=ROUND((1000/((1000/E978) + (1000/f978))),2)</f>
      </c>
      <c r="I978" s="3">
        <f>=ROUND((1000/((1000/E978) + (1000/G978))),2)</f>
      </c>
      <c r="J978" s="3">
        <f>=ROUND((1000/((1000/F978) + (1000/G978))),2)</f>
      </c>
    </row>
    <row r="979">
      <c r="A979" s="2" t="str">
        <v>01/05 ВС</v>
      </c>
      <c r="B979" s="2" t="str">
        <v>22:00</v>
      </c>
      <c r="C979" s="2" t="str">
        <v>ЧЕРНОГОРИЯ ЧЕРНОГОРИЯ</v>
      </c>
      <c r="D979" s="2" t="str">
        <v>Младость ДГ-Арсенал Тиват</v>
      </c>
      <c r="E979" s="3">
        <f>-</f>
      </c>
      <c r="F979" s="3">
        <f>-</f>
      </c>
      <c r="G979" s="3">
        <f>-</f>
      </c>
      <c r="H979" s="3">
        <f>=ROUND((1000/((1000/E979) + (1000/f979))),2)</f>
      </c>
      <c r="I979" s="3">
        <f>=ROUND((1000/((1000/E979) + (1000/G979))),2)</f>
      </c>
      <c r="J979" s="3">
        <f>=ROUND((1000/((1000/F979) + (1000/G979))),2)</f>
      </c>
    </row>
    <row r="980">
      <c r="A980" s="2" t="str">
        <v>01/05 ВС</v>
      </c>
      <c r="B980" s="2" t="str">
        <v>18:00</v>
      </c>
      <c r="C980" s="2" t="str">
        <v>ЧЕХИЯ ЧЕХИЯ</v>
      </c>
      <c r="D980" s="2" t="str">
        <v>Богемианс-Пардубице</v>
      </c>
      <c r="E980" s="3">
        <f>1.83</f>
      </c>
      <c r="F980" s="3">
        <f>3.50</f>
      </c>
      <c r="G980" s="3">
        <f>3.80</f>
      </c>
      <c r="H980" s="3">
        <f>=ROUND((1000/((1000/E980) + (1000/f980))),2)</f>
      </c>
      <c r="I980" s="3">
        <f>=ROUND((1000/((1000/E980) + (1000/G980))),2)</f>
      </c>
      <c r="J980" s="3">
        <f>=ROUND((1000/((1000/F980) + (1000/G980))),2)</f>
      </c>
    </row>
    <row r="981">
      <c r="A981" s="2" t="str">
        <v>01/05 ВС</v>
      </c>
      <c r="B981" s="2" t="str">
        <v>18:00</v>
      </c>
      <c r="C981" s="2" t="str">
        <v>ЧЕХИЯ ЧЕХИЯ</v>
      </c>
      <c r="D981" s="2" t="str">
        <v>Злин-Теплице</v>
      </c>
      <c r="E981" s="3">
        <f>1.90</f>
      </c>
      <c r="F981" s="3">
        <f>3.40</f>
      </c>
      <c r="G981" s="3">
        <f>3.60</f>
      </c>
      <c r="H981" s="3">
        <f>=ROUND((1000/((1000/E981) + (1000/f981))),2)</f>
      </c>
      <c r="I981" s="3">
        <f>=ROUND((1000/((1000/E981) + (1000/G981))),2)</f>
      </c>
      <c r="J981" s="3">
        <f>=ROUND((1000/((1000/F981) + (1000/G981))),2)</f>
      </c>
    </row>
    <row r="982">
      <c r="A982" s="2" t="str">
        <v>01/05 ВС</v>
      </c>
      <c r="B982" s="2" t="str">
        <v>18:00</v>
      </c>
      <c r="C982" s="2" t="str">
        <v>ЧЕХИЯ ЧЕХИЯ</v>
      </c>
      <c r="D982" s="2" t="str">
        <v>Яблонец-Карвина</v>
      </c>
      <c r="E982" s="3">
        <f>1.50</f>
      </c>
      <c r="F982" s="3">
        <f>3.80</f>
      </c>
      <c r="G982" s="3">
        <f>6.00</f>
      </c>
      <c r="H982" s="3">
        <f>=ROUND((1000/((1000/E982) + (1000/f982))),2)</f>
      </c>
      <c r="I982" s="3">
        <f>=ROUND((1000/((1000/E982) + (1000/G982))),2)</f>
      </c>
      <c r="J982" s="3">
        <f>=ROUND((1000/((1000/F982) + (1000/G982))),2)</f>
      </c>
    </row>
    <row r="983">
      <c r="A983" s="2" t="str">
        <v>01/05 ВС</v>
      </c>
      <c r="B983" s="2" t="str">
        <v>21:00</v>
      </c>
      <c r="C983" s="2" t="str">
        <v>ЧЕХИЯ ЧЕХИЯ</v>
      </c>
      <c r="D983" s="2" t="str">
        <v>Славия Прага-Виктория Пльзень</v>
      </c>
      <c r="E983" s="3">
        <f>1.60</f>
      </c>
      <c r="F983" s="3">
        <f>3.60</f>
      </c>
      <c r="G983" s="3">
        <f>5.00</f>
      </c>
      <c r="H983" s="3">
        <f>=ROUND((1000/((1000/E983) + (1000/f983))),2)</f>
      </c>
      <c r="I983" s="3">
        <f>=ROUND((1000/((1000/E983) + (1000/G983))),2)</f>
      </c>
      <c r="J983" s="3">
        <f>=ROUND((1000/((1000/F983) + (1000/G983))),2)</f>
      </c>
    </row>
    <row r="984">
      <c r="A984" s="2" t="str">
        <v>01/05 ВС</v>
      </c>
      <c r="B984" s="2" t="str">
        <v>15:15</v>
      </c>
      <c r="C984" s="2" t="str">
        <v>ЧЕХИЯ ЧЕХИЯ</v>
      </c>
      <c r="D984" s="2" t="str">
        <v>Влашим-Збройовка Брно</v>
      </c>
      <c r="E984" s="3">
        <f>2.30</f>
      </c>
      <c r="F984" s="3">
        <f>3.20</f>
      </c>
      <c r="G984" s="3">
        <f>2.75</f>
      </c>
      <c r="H984" s="3">
        <f>=ROUND((1000/((1000/E984) + (1000/f984))),2)</f>
      </c>
      <c r="I984" s="3">
        <f>=ROUND((1000/((1000/E984) + (1000/G984))),2)</f>
      </c>
      <c r="J984" s="3">
        <f>=ROUND((1000/((1000/F984) + (1000/G984))),2)</f>
      </c>
    </row>
    <row r="985">
      <c r="A985" s="2" t="str">
        <v>01/05 ВС</v>
      </c>
      <c r="B985" s="2" t="str">
        <v>19:00</v>
      </c>
      <c r="C985" s="2" t="str">
        <v>ЧЕХИЯ ЧЕХИЯ</v>
      </c>
      <c r="D985" s="2" t="str">
        <v>Мас Таборско-Усти-над-Лабем</v>
      </c>
      <c r="E985" s="3">
        <f>1.66</f>
      </c>
      <c r="F985" s="3">
        <f>3.50</f>
      </c>
      <c r="G985" s="3">
        <f>4.33</f>
      </c>
      <c r="H985" s="3">
        <f>=ROUND((1000/((1000/E985) + (1000/f985))),2)</f>
      </c>
      <c r="I985" s="3">
        <f>=ROUND((1000/((1000/E985) + (1000/G985))),2)</f>
      </c>
      <c r="J985" s="3">
        <f>=ROUND((1000/((1000/F985) + (1000/G985))),2)</f>
      </c>
    </row>
    <row r="986">
      <c r="A986" s="2" t="str">
        <v>01/05 ВС</v>
      </c>
      <c r="B986" s="2" t="str">
        <v>20:00</v>
      </c>
      <c r="C986" s="2" t="str">
        <v>ЧЕХИЯ ЧЕХИЯ</v>
      </c>
      <c r="D986" s="2" t="str">
        <v>Высочина Йиглава-Виктория Жижков</v>
      </c>
      <c r="E986" s="3">
        <f>1.44</f>
      </c>
      <c r="F986" s="3">
        <f>3.75</f>
      </c>
      <c r="G986" s="3">
        <f>6.50</f>
      </c>
      <c r="H986" s="3">
        <f>=ROUND((1000/((1000/E986) + (1000/f986))),2)</f>
      </c>
      <c r="I986" s="3">
        <f>=ROUND((1000/((1000/E986) + (1000/G986))),2)</f>
      </c>
      <c r="J986" s="3">
        <f>=ROUND((1000/((1000/F986) + (1000/G986))),2)</f>
      </c>
    </row>
    <row r="987">
      <c r="A987" s="2" t="str">
        <v>01/05 ВС</v>
      </c>
      <c r="B987" s="2" t="str">
        <v>12:30</v>
      </c>
      <c r="C987" s="2" t="str">
        <v>ЧЕХИЯ ЧЕХИЯ</v>
      </c>
      <c r="D987" s="2" t="str">
        <v>Пршибрам (Б)-Домазлице</v>
      </c>
      <c r="E987" s="3">
        <f>-</f>
      </c>
      <c r="F987" s="3">
        <f>-</f>
      </c>
      <c r="G987" s="3">
        <f>-</f>
      </c>
      <c r="H987" s="3">
        <f>=ROUND((1000/((1000/E987) + (1000/f987))),2)</f>
      </c>
      <c r="I987" s="3">
        <f>=ROUND((1000/((1000/E987) + (1000/G987))),2)</f>
      </c>
      <c r="J987" s="3">
        <f>=ROUND((1000/((1000/F987) + (1000/G987))),2)</f>
      </c>
    </row>
    <row r="988">
      <c r="A988" s="2" t="str">
        <v>01/05 ВС</v>
      </c>
      <c r="B988" s="2" t="str">
        <v>19:00</v>
      </c>
      <c r="C988" s="2" t="str">
        <v>ЧЕХИЯ ЧЕХИЯ</v>
      </c>
      <c r="D988" s="2" t="str">
        <v>Гостоунь-Славия Прага (Б)</v>
      </c>
      <c r="E988" s="3">
        <f>-</f>
      </c>
      <c r="F988" s="3">
        <f>-</f>
      </c>
      <c r="G988" s="3">
        <f>-</f>
      </c>
      <c r="H988" s="3">
        <f>=ROUND((1000/((1000/E988) + (1000/f988))),2)</f>
      </c>
      <c r="I988" s="3">
        <f>=ROUND((1000/((1000/E988) + (1000/G988))),2)</f>
      </c>
      <c r="J988" s="3">
        <f>=ROUND((1000/((1000/F988) + (1000/G988))),2)</f>
      </c>
    </row>
    <row r="989">
      <c r="A989" s="2" t="str">
        <v>01/05 ВС</v>
      </c>
      <c r="B989" s="2" t="str">
        <v>19:00</v>
      </c>
      <c r="C989" s="2" t="str">
        <v>ЧЕХИЯ ЧЕХИЯ</v>
      </c>
      <c r="D989" s="2" t="str">
        <v>Повлтавска ФА-Плзень (Б)</v>
      </c>
      <c r="E989" s="3">
        <f>-</f>
      </c>
      <c r="F989" s="3">
        <f>-</f>
      </c>
      <c r="G989" s="3">
        <f>-</f>
      </c>
      <c r="H989" s="3">
        <f>=ROUND((1000/((1000/E989) + (1000/f989))),2)</f>
      </c>
      <c r="I989" s="3">
        <f>=ROUND((1000/((1000/E989) + (1000/G989))),2)</f>
      </c>
      <c r="J989" s="3">
        <f>=ROUND((1000/((1000/F989) + (1000/G989))),2)</f>
      </c>
    </row>
    <row r="990">
      <c r="A990" s="2" t="str">
        <v>01/05 ВС</v>
      </c>
      <c r="B990" s="2" t="str">
        <v>12:15</v>
      </c>
      <c r="C990" s="2" t="str">
        <v>ЧЕХИЯ ЧЕХИЯ</v>
      </c>
      <c r="D990" s="2" t="str">
        <v>Богемианс 1905 (Б)-Брозаны</v>
      </c>
      <c r="E990" s="3">
        <f>-</f>
      </c>
      <c r="F990" s="3">
        <f>-</f>
      </c>
      <c r="G990" s="3">
        <f>-</f>
      </c>
      <c r="H990" s="3">
        <f>=ROUND((1000/((1000/E990) + (1000/f990))),2)</f>
      </c>
      <c r="I990" s="3">
        <f>=ROUND((1000/((1000/E990) + (1000/G990))),2)</f>
      </c>
      <c r="J990" s="3">
        <f>=ROUND((1000/((1000/F990) + (1000/G990))),2)</f>
      </c>
    </row>
    <row r="991">
      <c r="A991" s="2" t="str">
        <v>01/05 ВС</v>
      </c>
      <c r="B991" s="2" t="str">
        <v>12:15</v>
      </c>
      <c r="C991" s="2" t="str">
        <v>ЧЕХИЯ ЧЕХИЯ</v>
      </c>
      <c r="D991" s="2" t="str">
        <v>Градец-Кралове (Б)-Пршеперже</v>
      </c>
      <c r="E991" s="3">
        <f>-</f>
      </c>
      <c r="F991" s="3">
        <f>-</f>
      </c>
      <c r="G991" s="3">
        <f>-</f>
      </c>
      <c r="H991" s="3">
        <f>=ROUND((1000/((1000/E991) + (1000/f991))),2)</f>
      </c>
      <c r="I991" s="3">
        <f>=ROUND((1000/((1000/E991) + (1000/G991))),2)</f>
      </c>
      <c r="J991" s="3">
        <f>=ROUND((1000/((1000/F991) + (1000/G991))),2)</f>
      </c>
    </row>
    <row r="992">
      <c r="A992" s="2" t="str">
        <v>01/05 ВС</v>
      </c>
      <c r="B992" s="2" t="str">
        <v>12:15</v>
      </c>
      <c r="C992" s="2" t="str">
        <v>ЧЕХИЯ ЧЕХИЯ</v>
      </c>
      <c r="D992" s="2" t="str">
        <v>Либерец (Б)-Дукла Прага (Б)</v>
      </c>
      <c r="E992" s="3">
        <f>-</f>
      </c>
      <c r="F992" s="3">
        <f>-</f>
      </c>
      <c r="G992" s="3">
        <f>-</f>
      </c>
      <c r="H992" s="3">
        <f>=ROUND((1000/((1000/E992) + (1000/f992))),2)</f>
      </c>
      <c r="I992" s="3">
        <f>=ROUND((1000/((1000/E992) + (1000/G992))),2)</f>
      </c>
      <c r="J992" s="3">
        <f>=ROUND((1000/((1000/F992) + (1000/G992))),2)</f>
      </c>
    </row>
    <row r="993">
      <c r="A993" s="2" t="str">
        <v>01/05 ВС</v>
      </c>
      <c r="B993" s="2" t="str">
        <v>12:15</v>
      </c>
      <c r="C993" s="2" t="str">
        <v>ЧЕХИЯ ЧЕХИЯ</v>
      </c>
      <c r="D993" s="2" t="str">
        <v>Млада-Болеслав (Б)-Збузани</v>
      </c>
      <c r="E993" s="3">
        <f>-</f>
      </c>
      <c r="F993" s="3">
        <f>-</f>
      </c>
      <c r="G993" s="3">
        <f>-</f>
      </c>
      <c r="H993" s="3">
        <f>=ROUND((1000/((1000/E993) + (1000/f993))),2)</f>
      </c>
      <c r="I993" s="3">
        <f>=ROUND((1000/((1000/E993) + (1000/G993))),2)</f>
      </c>
      <c r="J993" s="3">
        <f>=ROUND((1000/((1000/F993) + (1000/G993))),2)</f>
      </c>
    </row>
    <row r="994">
      <c r="A994" s="2" t="str">
        <v>01/05 ВС</v>
      </c>
      <c r="B994" s="2" t="str">
        <v>12:15</v>
      </c>
      <c r="C994" s="2" t="str">
        <v>ЧЕХИЯ ЧЕХИЯ</v>
      </c>
      <c r="D994" s="2" t="str">
        <v>Хлумец-над-Цидлиноу-Пардубице (Б)</v>
      </c>
      <c r="E994" s="3">
        <f>-</f>
      </c>
      <c r="F994" s="3">
        <f>-</f>
      </c>
      <c r="G994" s="3">
        <f>-</f>
      </c>
      <c r="H994" s="3">
        <f>=ROUND((1000/((1000/E994) + (1000/f994))),2)</f>
      </c>
      <c r="I994" s="3">
        <f>=ROUND((1000/((1000/E994) + (1000/G994))),2)</f>
      </c>
      <c r="J994" s="3">
        <f>=ROUND((1000/((1000/F994) + (1000/G994))),2)</f>
      </c>
    </row>
    <row r="995">
      <c r="A995" s="2" t="str">
        <v>01/05 ВС</v>
      </c>
      <c r="B995" s="2" t="str">
        <v>12:15</v>
      </c>
      <c r="C995" s="2" t="str">
        <v>ЧЕХИЯ ЧЕХИЯ</v>
      </c>
      <c r="D995" s="2" t="str">
        <v>Сигма Оломоуц (Б)-Уников</v>
      </c>
      <c r="E995" s="3">
        <f>-</f>
      </c>
      <c r="F995" s="3">
        <f>-</f>
      </c>
      <c r="G995" s="3">
        <f>-</f>
      </c>
      <c r="H995" s="3">
        <f>=ROUND((1000/((1000/E995) + (1000/f995))),2)</f>
      </c>
      <c r="I995" s="3">
        <f>=ROUND((1000/((1000/E995) + (1000/G995))),2)</f>
      </c>
      <c r="J995" s="3">
        <f>=ROUND((1000/((1000/F995) + (1000/G995))),2)</f>
      </c>
    </row>
    <row r="996">
      <c r="A996" s="2" t="str">
        <v>01/05 ВС</v>
      </c>
      <c r="B996" s="2" t="str">
        <v>12:15</v>
      </c>
      <c r="C996" s="2" t="str">
        <v>ЧЕХИЯ ЧЕХИЯ</v>
      </c>
      <c r="D996" s="2" t="str">
        <v>Словацко (Б)-Врховина</v>
      </c>
      <c r="E996" s="3">
        <f>-</f>
      </c>
      <c r="F996" s="3">
        <f>-</f>
      </c>
      <c r="G996" s="3">
        <f>-</f>
      </c>
      <c r="H996" s="3">
        <f>=ROUND((1000/((1000/E996) + (1000/f996))),2)</f>
      </c>
      <c r="I996" s="3">
        <f>=ROUND((1000/((1000/E996) + (1000/G996))),2)</f>
      </c>
      <c r="J996" s="3">
        <f>=ROUND((1000/((1000/F996) + (1000/G996))),2)</f>
      </c>
    </row>
    <row r="997">
      <c r="A997" s="2" t="str">
        <v>01/05 ВС</v>
      </c>
      <c r="B997" s="2" t="str">
        <v>18:30</v>
      </c>
      <c r="C997" s="2" t="str">
        <v>ЧЕХИЯ ЧЕХИЯ</v>
      </c>
      <c r="D997" s="2" t="str">
        <v>Росице-Йиглава (Б)</v>
      </c>
      <c r="E997" s="3">
        <f>-</f>
      </c>
      <c r="F997" s="3">
        <f>-</f>
      </c>
      <c r="G997" s="3">
        <f>-</f>
      </c>
      <c r="H997" s="3">
        <f>=ROUND((1000/((1000/E997) + (1000/f997))),2)</f>
      </c>
      <c r="I997" s="3">
        <f>=ROUND((1000/((1000/E997) + (1000/G997))),2)</f>
      </c>
      <c r="J997" s="3">
        <f>=ROUND((1000/((1000/F997) + (1000/G997))),2)</f>
      </c>
    </row>
    <row r="998">
      <c r="A998" s="2" t="str">
        <v>01/05 ВС</v>
      </c>
      <c r="B998" s="2" t="str">
        <v>18:00</v>
      </c>
      <c r="C998" s="2" t="str">
        <v>ЧЕХИЯ ЧЕХИЯ</v>
      </c>
      <c r="D998" s="2" t="str">
        <v>Йиндржихув Градец-Ческе-Будеёвице (Б)</v>
      </c>
      <c r="E998" s="3">
        <f>-</f>
      </c>
      <c r="F998" s="3">
        <f>-</f>
      </c>
      <c r="G998" s="3">
        <f>-</f>
      </c>
      <c r="H998" s="3">
        <f>=ROUND((1000/((1000/E998) + (1000/f998))),2)</f>
      </c>
      <c r="I998" s="3">
        <f>=ROUND((1000/((1000/E998) + (1000/G998))),2)</f>
      </c>
      <c r="J998" s="3">
        <f>=ROUND((1000/((1000/F998) + (1000/G998))),2)</f>
      </c>
    </row>
    <row r="999">
      <c r="A999" s="2" t="str">
        <v>01/05 ВС</v>
      </c>
      <c r="B999" s="2" t="str">
        <v>19:00</v>
      </c>
      <c r="C999" s="2" t="str">
        <v>ЧЕХИЯ ЧЕХИЯ</v>
      </c>
      <c r="D999" s="2" t="str">
        <v>Седльчани-Марианске-Лазне</v>
      </c>
      <c r="E999" s="3">
        <f>-</f>
      </c>
      <c r="F999" s="3">
        <f>-</f>
      </c>
      <c r="G999" s="3">
        <f>-</f>
      </c>
      <c r="H999" s="3">
        <f>=ROUND((1000/((1000/E999) + (1000/f999))),2)</f>
      </c>
      <c r="I999" s="3">
        <f>=ROUND((1000/((1000/E999) + (1000/G999))),2)</f>
      </c>
      <c r="J999" s="3">
        <f>=ROUND((1000/((1000/F999) + (1000/G999))),2)</f>
      </c>
    </row>
    <row r="1000">
      <c r="A1000" s="2" t="str">
        <v>01/05 ВС</v>
      </c>
      <c r="B1000" s="2" t="str">
        <v>12:15</v>
      </c>
      <c r="C1000" s="2" t="str">
        <v>ЧЕХИЯ ЧЕХИЯ</v>
      </c>
      <c r="D1000" s="2" t="str">
        <v>Метеор Прага-Аритма Прага</v>
      </c>
      <c r="E1000" s="3">
        <f>-</f>
      </c>
      <c r="F1000" s="3">
        <f>-</f>
      </c>
      <c r="G1000" s="3">
        <f>-</f>
      </c>
      <c r="H1000" s="3">
        <f>=ROUND((1000/((1000/E1000) + (1000/f1000))),2)</f>
      </c>
      <c r="I1000" s="3">
        <f>=ROUND((1000/((1000/E1000) + (1000/G1000))),2)</f>
      </c>
      <c r="J1000" s="3">
        <f>=ROUND((1000/((1000/F1000) + (1000/G1000))),2)</f>
      </c>
    </row>
    <row r="1001">
      <c r="A1001" s="2" t="str">
        <v>01/05 ВС</v>
      </c>
      <c r="B1001" s="2" t="str">
        <v>19:00</v>
      </c>
      <c r="C1001" s="2" t="str">
        <v>ЧЕХИЯ ЧЕХИЯ</v>
      </c>
      <c r="D1001" s="2" t="str">
        <v>Лоуны-Нератовице</v>
      </c>
      <c r="E1001" s="3">
        <f>-</f>
      </c>
      <c r="F1001" s="3">
        <f>-</f>
      </c>
      <c r="G1001" s="3">
        <f>-</f>
      </c>
      <c r="H1001" s="3">
        <f>=ROUND((1000/((1000/E1001) + (1000/f1001))),2)</f>
      </c>
      <c r="I1001" s="3">
        <f>=ROUND((1000/((1000/E1001) + (1000/G1001))),2)</f>
      </c>
      <c r="J1001" s="3">
        <f>=ROUND((1000/((1000/F1001) + (1000/G1001))),2)</f>
      </c>
    </row>
    <row r="1002">
      <c r="A1002" s="2" t="str">
        <v>01/05 ВС</v>
      </c>
      <c r="B1002" s="2" t="str">
        <v>19:00</v>
      </c>
      <c r="C1002" s="2" t="str">
        <v>ЧЕХИЯ ЧЕХИЯ</v>
      </c>
      <c r="D1002" s="2" t="str">
        <v>Двур Кралове-Бенатки</v>
      </c>
      <c r="E1002" s="3">
        <f>-</f>
      </c>
      <c r="F1002" s="3">
        <f>-</f>
      </c>
      <c r="G1002" s="3">
        <f>-</f>
      </c>
      <c r="H1002" s="3">
        <f>=ROUND((1000/((1000/E1002) + (1000/f1002))),2)</f>
      </c>
      <c r="I1002" s="3">
        <f>=ROUND((1000/((1000/E1002) + (1000/G1002))),2)</f>
      </c>
      <c r="J1002" s="3">
        <f>=ROUND((1000/((1000/F1002) + (1000/G1002))),2)</f>
      </c>
    </row>
    <row r="1003">
      <c r="A1003" s="2" t="str">
        <v>01/05 ВС</v>
      </c>
      <c r="B1003" s="2" t="str">
        <v>19:00</v>
      </c>
      <c r="C1003" s="2" t="str">
        <v>ЧЕХИЯ ЧЕХИЯ</v>
      </c>
      <c r="D1003" s="2" t="str">
        <v>Поржичаны-Космоносы</v>
      </c>
      <c r="E1003" s="3">
        <f>-</f>
      </c>
      <c r="F1003" s="3">
        <f>-</f>
      </c>
      <c r="G1003" s="3">
        <f>-</f>
      </c>
      <c r="H1003" s="3">
        <f>=ROUND((1000/((1000/E1003) + (1000/f1003))),2)</f>
      </c>
      <c r="I1003" s="3">
        <f>=ROUND((1000/((1000/E1003) + (1000/G1003))),2)</f>
      </c>
      <c r="J1003" s="3">
        <f>=ROUND((1000/((1000/F1003) + (1000/G1003))),2)</f>
      </c>
    </row>
    <row r="1004">
      <c r="A1004" s="2" t="str">
        <v>01/05 ВС</v>
      </c>
      <c r="B1004" s="2" t="str">
        <v>12:15</v>
      </c>
      <c r="C1004" s="2" t="str">
        <v>ЧЕХИЯ ЧЕХИЯ</v>
      </c>
      <c r="D1004" s="2" t="str">
        <v>Брно (Б)-Старт Брно</v>
      </c>
      <c r="E1004" s="3">
        <f>-</f>
      </c>
      <c r="F1004" s="3">
        <f>-</f>
      </c>
      <c r="G1004" s="3">
        <f>-</f>
      </c>
      <c r="H1004" s="3">
        <f>=ROUND((1000/((1000/E1004) + (1000/f1004))),2)</f>
      </c>
      <c r="I1004" s="3">
        <f>=ROUND((1000/((1000/E1004) + (1000/G1004))),2)</f>
      </c>
      <c r="J1004" s="3">
        <f>=ROUND((1000/((1000/F1004) + (1000/G1004))),2)</f>
      </c>
    </row>
    <row r="1005">
      <c r="A1005" s="2" t="str">
        <v>01/05 ВС</v>
      </c>
      <c r="B1005" s="2" t="str">
        <v>18:30</v>
      </c>
      <c r="C1005" s="2" t="str">
        <v>ЧЕХИЯ ЧЕХИЯ</v>
      </c>
      <c r="D1005" s="2" t="str">
        <v>Гумполец-Тасовице</v>
      </c>
      <c r="E1005" s="3">
        <f>-</f>
      </c>
      <c r="F1005" s="3">
        <f>-</f>
      </c>
      <c r="G1005" s="3">
        <f>-</f>
      </c>
      <c r="H1005" s="3">
        <f>=ROUND((1000/((1000/E1005) + (1000/f1005))),2)</f>
      </c>
      <c r="I1005" s="3">
        <f>=ROUND((1000/((1000/E1005) + (1000/G1005))),2)</f>
      </c>
      <c r="J1005" s="3">
        <f>=ROUND((1000/((1000/F1005) + (1000/G1005))),2)</f>
      </c>
    </row>
    <row r="1006">
      <c r="A1006" s="2" t="str">
        <v>01/05 ВС</v>
      </c>
      <c r="B1006" s="2" t="str">
        <v>18:30</v>
      </c>
      <c r="C1006" s="2" t="str">
        <v>ЧЕХИЯ ЧЕХИЯ</v>
      </c>
      <c r="D1006" s="2" t="str">
        <v>Ждяр-над-Сазавоу-Бистршице-над-Пернштейнем</v>
      </c>
      <c r="E1006" s="3">
        <f>-</f>
      </c>
      <c r="F1006" s="3">
        <f>-</f>
      </c>
      <c r="G1006" s="3">
        <f>-</f>
      </c>
      <c r="H1006" s="3">
        <f>=ROUND((1000/((1000/E1006) + (1000/f1006))),2)</f>
      </c>
      <c r="I1006" s="3">
        <f>=ROUND((1000/((1000/E1006) + (1000/G1006))),2)</f>
      </c>
      <c r="J1006" s="3">
        <f>=ROUND((1000/((1000/F1006) + (1000/G1006))),2)</f>
      </c>
    </row>
    <row r="1007">
      <c r="A1007" s="2" t="str">
        <v>01/05 ВС</v>
      </c>
      <c r="B1007" s="2" t="str">
        <v>18:30</v>
      </c>
      <c r="C1007" s="2" t="str">
        <v>ЧЕХИЯ ЧЕХИЯ</v>
      </c>
      <c r="D1007" s="2" t="str">
        <v>Ланжот-Здирец</v>
      </c>
      <c r="E1007" s="3">
        <f>-</f>
      </c>
      <c r="F1007" s="3">
        <f>-</f>
      </c>
      <c r="G1007" s="3">
        <f>-</f>
      </c>
      <c r="H1007" s="3">
        <f>=ROUND((1000/((1000/E1007) + (1000/f1007))),2)</f>
      </c>
      <c r="I1007" s="3">
        <f>=ROUND((1000/((1000/E1007) + (1000/G1007))),2)</f>
      </c>
      <c r="J1007" s="3">
        <f>=ROUND((1000/((1000/F1007) + (1000/G1007))),2)</f>
      </c>
    </row>
    <row r="1008">
      <c r="A1008" s="2" t="str">
        <v>01/05 ВС</v>
      </c>
      <c r="B1008" s="2" t="str">
        <v>18:30</v>
      </c>
      <c r="C1008" s="2" t="str">
        <v>ЧЕХИЯ ЧЕХИЯ</v>
      </c>
      <c r="D1008" s="2" t="str">
        <v>Стара Рисе-Годонин</v>
      </c>
      <c r="E1008" s="3">
        <f>-</f>
      </c>
      <c r="F1008" s="3">
        <f>-</f>
      </c>
      <c r="G1008" s="3">
        <f>-</f>
      </c>
      <c r="H1008" s="3">
        <f>=ROUND((1000/((1000/E1008) + (1000/f1008))),2)</f>
      </c>
      <c r="I1008" s="3">
        <f>=ROUND((1000/((1000/E1008) + (1000/G1008))),2)</f>
      </c>
      <c r="J1008" s="3">
        <f>=ROUND((1000/((1000/F1008) + (1000/G1008))),2)</f>
      </c>
    </row>
    <row r="1009">
      <c r="A1009" s="2" t="str">
        <v>01/05 ВС</v>
      </c>
      <c r="B1009" s="2" t="str">
        <v>18:30</v>
      </c>
      <c r="C1009" s="2" t="str">
        <v>ЧЕХИЯ ЧЕХИЯ</v>
      </c>
      <c r="D1009" s="2" t="str">
        <v>Козловице-ХФК Оломоуц</v>
      </c>
      <c r="E1009" s="3">
        <f>-</f>
      </c>
      <c r="F1009" s="3">
        <f>-</f>
      </c>
      <c r="G1009" s="3">
        <f>-</f>
      </c>
      <c r="H1009" s="3">
        <f>=ROUND((1000/((1000/E1009) + (1000/f1009))),2)</f>
      </c>
      <c r="I1009" s="3">
        <f>=ROUND((1000/((1000/E1009) + (1000/G1009))),2)</f>
      </c>
      <c r="J1009" s="3">
        <f>=ROUND((1000/((1000/F1009) + (1000/G1009))),2)</f>
      </c>
    </row>
    <row r="1010">
      <c r="A1010" s="2" t="str">
        <v>01/05 ВС</v>
      </c>
      <c r="B1010" s="2" t="str">
        <v>12:15</v>
      </c>
      <c r="C1010" s="2" t="str">
        <v>ЧЕХИЯ ЧЕХИЯ</v>
      </c>
      <c r="D1010" s="2" t="str">
        <v>Гавиржов-Фридлант-над-Остравици</v>
      </c>
      <c r="E1010" s="3">
        <f>-</f>
      </c>
      <c r="F1010" s="3">
        <f>-</f>
      </c>
      <c r="G1010" s="3">
        <f>-</f>
      </c>
      <c r="H1010" s="3">
        <f>=ROUND((1000/((1000/E1010) + (1000/f1010))),2)</f>
      </c>
      <c r="I1010" s="3">
        <f>=ROUND((1000/((1000/E1010) + (1000/G1010))),2)</f>
      </c>
      <c r="J1010" s="3">
        <f>=ROUND((1000/((1000/F1010) + (1000/G1010))),2)</f>
      </c>
    </row>
    <row r="1011">
      <c r="A1011" s="2" t="str">
        <v>01/05 ВС</v>
      </c>
      <c r="B1011" s="2" t="str">
        <v>12:15</v>
      </c>
      <c r="C1011" s="2" t="str">
        <v>ЧЕХИЯ ЧЕХИЯ</v>
      </c>
      <c r="D1011" s="2" t="str">
        <v>Опава (Б)-Френштат-под-Радгоштем</v>
      </c>
      <c r="E1011" s="3">
        <f>-</f>
      </c>
      <c r="F1011" s="3">
        <f>-</f>
      </c>
      <c r="G1011" s="3">
        <f>-</f>
      </c>
      <c r="H1011" s="3">
        <f>=ROUND((1000/((1000/E1011) + (1000/f1011))),2)</f>
      </c>
      <c r="I1011" s="3">
        <f>=ROUND((1000/((1000/E1011) + (1000/G1011))),2)</f>
      </c>
      <c r="J1011" s="3">
        <f>=ROUND((1000/((1000/F1011) + (1000/G1011))),2)</f>
      </c>
    </row>
    <row r="1012">
      <c r="A1012" s="2" t="str">
        <v>01/05 ВС</v>
      </c>
      <c r="B1012" s="2" t="str">
        <v>18:30</v>
      </c>
      <c r="C1012" s="2" t="str">
        <v>ЧЕХИЯ ЧЕХИЯ</v>
      </c>
      <c r="D1012" s="2" t="str">
        <v>Богумин-Полянка-над-Одру</v>
      </c>
      <c r="E1012" s="3">
        <f>-</f>
      </c>
      <c r="F1012" s="3">
        <f>-</f>
      </c>
      <c r="G1012" s="3">
        <f>-</f>
      </c>
      <c r="H1012" s="3">
        <f>=ROUND((1000/((1000/E1012) + (1000/f1012))),2)</f>
      </c>
      <c r="I1012" s="3">
        <f>=ROUND((1000/((1000/E1012) + (1000/G1012))),2)</f>
      </c>
      <c r="J1012" s="3">
        <f>=ROUND((1000/((1000/F1012) + (1000/G1012))),2)</f>
      </c>
    </row>
    <row r="1013">
      <c r="A1013" s="2" t="str">
        <v>01/05 ВС</v>
      </c>
      <c r="B1013" s="2" t="str">
        <v>18:30</v>
      </c>
      <c r="C1013" s="2" t="str">
        <v>ЧЕХИЯ ЧЕХИЯ</v>
      </c>
      <c r="D1013" s="2" t="str">
        <v>Брунтал-Витковице</v>
      </c>
      <c r="E1013" s="3">
        <f>-</f>
      </c>
      <c r="F1013" s="3">
        <f>-</f>
      </c>
      <c r="G1013" s="3">
        <f>-</f>
      </c>
      <c r="H1013" s="3">
        <f>=ROUND((1000/((1000/E1013) + (1000/f1013))),2)</f>
      </c>
      <c r="I1013" s="3">
        <f>=ROUND((1000/((1000/E1013) + (1000/G1013))),2)</f>
      </c>
      <c r="J1013" s="3">
        <f>=ROUND((1000/((1000/F1013) + (1000/G1013))),2)</f>
      </c>
    </row>
    <row r="1014">
      <c r="A1014" s="2" t="str">
        <v>01/05 ВС</v>
      </c>
      <c r="B1014" s="2" t="str">
        <v>18:30</v>
      </c>
      <c r="C1014" s="2" t="str">
        <v>ЧЕХИЯ ЧЕХИЯ</v>
      </c>
      <c r="D1014" s="2" t="str">
        <v>Кобержице-Долни Датыне</v>
      </c>
      <c r="E1014" s="3">
        <f>-</f>
      </c>
      <c r="F1014" s="3">
        <f>-</f>
      </c>
      <c r="G1014" s="3">
        <f>-</f>
      </c>
      <c r="H1014" s="3">
        <f>=ROUND((1000/((1000/E1014) + (1000/f1014))),2)</f>
      </c>
      <c r="I1014" s="3">
        <f>=ROUND((1000/((1000/E1014) + (1000/G1014))),2)</f>
      </c>
      <c r="J1014" s="3">
        <f>=ROUND((1000/((1000/F1014) + (1000/G1014))),2)</f>
      </c>
    </row>
    <row r="1015">
      <c r="A1015" s="2" t="str">
        <v>01/05 ВС</v>
      </c>
      <c r="B1015" s="2" t="str">
        <v>18:30</v>
      </c>
      <c r="C1015" s="2" t="str">
        <v>ЧЕХИЯ ЧЕХИЯ</v>
      </c>
      <c r="D1015" s="2" t="str">
        <v>Мораван-Олдржишов-Якубчовице</v>
      </c>
      <c r="E1015" s="3">
        <f>-</f>
      </c>
      <c r="F1015" s="3">
        <f>-</f>
      </c>
      <c r="G1015" s="3">
        <f>-</f>
      </c>
      <c r="H1015" s="3">
        <f>=ROUND((1000/((1000/E1015) + (1000/f1015))),2)</f>
      </c>
      <c r="I1015" s="3">
        <f>=ROUND((1000/((1000/E1015) + (1000/G1015))),2)</f>
      </c>
      <c r="J1015" s="3">
        <f>=ROUND((1000/((1000/F1015) + (1000/G1015))),2)</f>
      </c>
    </row>
    <row r="1016">
      <c r="A1016" s="2" t="str">
        <v>01/05 ВС</v>
      </c>
      <c r="B1016" s="2" t="str">
        <v>18:30</v>
      </c>
      <c r="C1016" s="2" t="str">
        <v>ЧЕХИЯ ЧЕХИЯ</v>
      </c>
      <c r="D1016" s="2" t="str">
        <v>Боршице-Недашов</v>
      </c>
      <c r="E1016" s="3">
        <f>-</f>
      </c>
      <c r="F1016" s="3">
        <f>-</f>
      </c>
      <c r="G1016" s="3">
        <f>-</f>
      </c>
      <c r="H1016" s="3">
        <f>=ROUND((1000/((1000/E1016) + (1000/f1016))),2)</f>
      </c>
      <c r="I1016" s="3">
        <f>=ROUND((1000/((1000/E1016) + (1000/G1016))),2)</f>
      </c>
      <c r="J1016" s="3">
        <f>=ROUND((1000/((1000/F1016) + (1000/G1016))),2)</f>
      </c>
    </row>
    <row r="1017">
      <c r="A1017" s="2" t="str">
        <v>01/05 ВС</v>
      </c>
      <c r="B1017" s="2" t="str">
        <v>18:30</v>
      </c>
      <c r="C1017" s="2" t="str">
        <v>ЧЕХИЯ ЧЕХИЯ</v>
      </c>
      <c r="D1017" s="2" t="str">
        <v>Валашска Полянка-Бистршице-под-Гостинем</v>
      </c>
      <c r="E1017" s="3">
        <f>-</f>
      </c>
      <c r="F1017" s="3">
        <f>-</f>
      </c>
      <c r="G1017" s="3">
        <f>-</f>
      </c>
      <c r="H1017" s="3">
        <f>=ROUND((1000/((1000/E1017) + (1000/f1017))),2)</f>
      </c>
      <c r="I1017" s="3">
        <f>=ROUND((1000/((1000/E1017) + (1000/G1017))),2)</f>
      </c>
      <c r="J1017" s="3">
        <f>=ROUND((1000/((1000/F1017) + (1000/G1017))),2)</f>
      </c>
    </row>
    <row r="1018">
      <c r="A1018" s="2" t="str">
        <v>01/05 ВС</v>
      </c>
      <c r="B1018" s="2" t="str">
        <v>18:30</v>
      </c>
      <c r="C1018" s="2" t="str">
        <v>ЧЕХИЯ ЧЕХИЯ</v>
      </c>
      <c r="D1018" s="2" t="str">
        <v>Моравски Крумлов-Иванчице</v>
      </c>
      <c r="E1018" s="3">
        <f>-</f>
      </c>
      <c r="F1018" s="3">
        <f>-</f>
      </c>
      <c r="G1018" s="3">
        <f>-</f>
      </c>
      <c r="H1018" s="3">
        <f>=ROUND((1000/((1000/E1018) + (1000/f1018))),2)</f>
      </c>
      <c r="I1018" s="3">
        <f>=ROUND((1000/((1000/E1018) + (1000/G1018))),2)</f>
      </c>
      <c r="J1018" s="3">
        <f>=ROUND((1000/((1000/F1018) + (1000/G1018))),2)</f>
      </c>
    </row>
    <row r="1019">
      <c r="A1019" s="2" t="str">
        <v>01/05 ВС</v>
      </c>
      <c r="B1019" s="2" t="str">
        <v>18:30</v>
      </c>
      <c r="C1019" s="2" t="str">
        <v>ЧЕХИЯ ЧЕХИЯ</v>
      </c>
      <c r="D1019" s="2" t="str">
        <v>Раечко-Спарта Брно</v>
      </c>
      <c r="E1019" s="3">
        <f>-</f>
      </c>
      <c r="F1019" s="3">
        <f>-</f>
      </c>
      <c r="G1019" s="3">
        <f>-</f>
      </c>
      <c r="H1019" s="3">
        <f>=ROUND((1000/((1000/E1019) + (1000/f1019))),2)</f>
      </c>
      <c r="I1019" s="3">
        <f>=ROUND((1000/((1000/E1019) + (1000/G1019))),2)</f>
      </c>
      <c r="J1019" s="3">
        <f>=ROUND((1000/((1000/F1019) + (1000/G1019))),2)</f>
      </c>
    </row>
    <row r="1020">
      <c r="A1020" s="2" t="str">
        <v>01/05 ВС</v>
      </c>
      <c r="B1020" s="2" t="str">
        <v>12:30</v>
      </c>
      <c r="C1020" s="2" t="str">
        <v>ЧЕХИЯ ЧЕХИЯ</v>
      </c>
      <c r="D1020" s="2" t="str">
        <v>Сапели Полна-Окржишки</v>
      </c>
      <c r="E1020" s="3">
        <f>-</f>
      </c>
      <c r="F1020" s="3">
        <f>-</f>
      </c>
      <c r="G1020" s="3">
        <f>-</f>
      </c>
      <c r="H1020" s="3">
        <f>=ROUND((1000/((1000/E1020) + (1000/f1020))),2)</f>
      </c>
      <c r="I1020" s="3">
        <f>=ROUND((1000/((1000/E1020) + (1000/G1020))),2)</f>
      </c>
      <c r="J1020" s="3">
        <f>=ROUND((1000/((1000/F1020) + (1000/G1020))),2)</f>
      </c>
    </row>
    <row r="1021">
      <c r="A1021" s="2" t="str">
        <v>01/05 ВС</v>
      </c>
      <c r="B1021" s="2" t="str">
        <v>18:30</v>
      </c>
      <c r="C1021" s="2" t="str">
        <v>ЧЕХИЯ ЧЕХИЯ</v>
      </c>
      <c r="D1021" s="2" t="str">
        <v>Ледеч-над-Сазавоу-Требиц</v>
      </c>
      <c r="E1021" s="3">
        <f>-</f>
      </c>
      <c r="F1021" s="3">
        <f>-</f>
      </c>
      <c r="G1021" s="3">
        <f>-</f>
      </c>
      <c r="H1021" s="3">
        <f>=ROUND((1000/((1000/E1021) + (1000/f1021))),2)</f>
      </c>
      <c r="I1021" s="3">
        <f>=ROUND((1000/((1000/E1021) + (1000/G1021))),2)</f>
      </c>
      <c r="J1021" s="3">
        <f>=ROUND((1000/((1000/F1021) + (1000/G1021))),2)</f>
      </c>
    </row>
    <row r="1022">
      <c r="A1022" s="2" t="str">
        <v>01/05 ВС</v>
      </c>
      <c r="B1022" s="2" t="str">
        <v>18:30</v>
      </c>
      <c r="C1022" s="2" t="str">
        <v>ЧЕХИЯ ЧЕХИЯ</v>
      </c>
      <c r="D1022" s="2" t="str">
        <v>Пршибислав-Намешть-над-Ославой</v>
      </c>
      <c r="E1022" s="3">
        <f>-</f>
      </c>
      <c r="F1022" s="3">
        <f>-</f>
      </c>
      <c r="G1022" s="3">
        <f>-</f>
      </c>
      <c r="H1022" s="3">
        <f>=ROUND((1000/((1000/E1022) + (1000/f1022))),2)</f>
      </c>
      <c r="I1022" s="3">
        <f>=ROUND((1000/((1000/E1022) + (1000/G1022))),2)</f>
      </c>
      <c r="J1022" s="3">
        <f>=ROUND((1000/((1000/F1022) + (1000/G1022))),2)</f>
      </c>
    </row>
    <row r="1023">
      <c r="A1023" s="2" t="str">
        <v>01/05 ВС</v>
      </c>
      <c r="B1023" s="2" t="str">
        <v>15:30</v>
      </c>
      <c r="C1023" s="2" t="str">
        <v>ЧЕХИЯ ЧЕХИЯ</v>
      </c>
      <c r="D1023" s="2" t="str">
        <v>Рихнов-над-Кнежноу-Добрушка</v>
      </c>
      <c r="E1023" s="3">
        <f>-</f>
      </c>
      <c r="F1023" s="3">
        <f>-</f>
      </c>
      <c r="G1023" s="3">
        <f>-</f>
      </c>
      <c r="H1023" s="3">
        <f>=ROUND((1000/((1000/E1023) + (1000/f1023))),2)</f>
      </c>
      <c r="I1023" s="3">
        <f>=ROUND((1000/((1000/E1023) + (1000/G1023))),2)</f>
      </c>
      <c r="J1023" s="3">
        <f>=ROUND((1000/((1000/F1023) + (1000/G1023))),2)</f>
      </c>
    </row>
    <row r="1024">
      <c r="A1024" s="2" t="str">
        <v>01/05 ВС</v>
      </c>
      <c r="B1024" s="2" t="str">
        <v>19:00</v>
      </c>
      <c r="C1024" s="2" t="str">
        <v>ЧЕХИЯ ЧЕХИЯ</v>
      </c>
      <c r="D1024" s="2" t="str">
        <v>Врхлаби-Нови-Биджов</v>
      </c>
      <c r="E1024" s="3">
        <f>-</f>
      </c>
      <c r="F1024" s="3">
        <f>-</f>
      </c>
      <c r="G1024" s="3">
        <f>-</f>
      </c>
      <c r="H1024" s="3">
        <f>=ROUND((1000/((1000/E1024) + (1000/f1024))),2)</f>
      </c>
      <c r="I1024" s="3">
        <f>=ROUND((1000/((1000/E1024) + (1000/G1024))),2)</f>
      </c>
      <c r="J1024" s="3">
        <f>=ROUND((1000/((1000/F1024) + (1000/G1024))),2)</f>
      </c>
    </row>
    <row r="1025">
      <c r="A1025" s="2" t="str">
        <v>01/05 ВС</v>
      </c>
      <c r="B1025" s="2" t="str">
        <v>19:00</v>
      </c>
      <c r="C1025" s="2" t="str">
        <v>ЧЕХИЯ ЧЕХИЯ</v>
      </c>
      <c r="D1025" s="2" t="str">
        <v>Полице-над-Метуйи-Либчаны</v>
      </c>
      <c r="E1025" s="3">
        <f>-</f>
      </c>
      <c r="F1025" s="3">
        <f>-</f>
      </c>
      <c r="G1025" s="3">
        <f>-</f>
      </c>
      <c r="H1025" s="3">
        <f>=ROUND((1000/((1000/E1025) + (1000/f1025))),2)</f>
      </c>
      <c r="I1025" s="3">
        <f>=ROUND((1000/((1000/E1025) + (1000/G1025))),2)</f>
      </c>
      <c r="J1025" s="3">
        <f>=ROUND((1000/((1000/F1025) + (1000/G1025))),2)</f>
      </c>
    </row>
    <row r="1026">
      <c r="A1026" s="2" t="str">
        <v>01/05 ВС</v>
      </c>
      <c r="B1026" s="2" t="str">
        <v>19:00</v>
      </c>
      <c r="C1026" s="2" t="str">
        <v>ЧЕХИЯ ЧЕХИЯ</v>
      </c>
      <c r="D1026" s="2" t="str">
        <v>Тржебеш-Костелец</v>
      </c>
      <c r="E1026" s="3">
        <f>-</f>
      </c>
      <c r="F1026" s="3">
        <f>-</f>
      </c>
      <c r="G1026" s="3">
        <f>-</f>
      </c>
      <c r="H1026" s="3">
        <f>=ROUND((1000/((1000/E1026) + (1000/f1026))),2)</f>
      </c>
      <c r="I1026" s="3">
        <f>=ROUND((1000/((1000/E1026) + (1000/G1026))),2)</f>
      </c>
      <c r="J1026" s="3">
        <f>=ROUND((1000/((1000/F1026) + (1000/G1026))),2)</f>
      </c>
    </row>
    <row r="1027">
      <c r="A1027" s="2" t="str">
        <v>01/05 ВС</v>
      </c>
      <c r="B1027" s="2" t="str">
        <v>19:00</v>
      </c>
      <c r="C1027" s="2" t="str">
        <v>ЧЕХИЯ ЧЕХИЯ</v>
      </c>
      <c r="D1027" s="2" t="str">
        <v>Червеный Костелец-Хоржице</v>
      </c>
      <c r="E1027" s="3">
        <f>-</f>
      </c>
      <c r="F1027" s="3">
        <f>-</f>
      </c>
      <c r="G1027" s="3">
        <f>-</f>
      </c>
      <c r="H1027" s="3">
        <f>=ROUND((1000/((1000/E1027) + (1000/f1027))),2)</f>
      </c>
      <c r="I1027" s="3">
        <f>=ROUND((1000/((1000/E1027) + (1000/G1027))),2)</f>
      </c>
      <c r="J1027" s="3">
        <f>=ROUND((1000/((1000/F1027) + (1000/G1027))),2)</f>
      </c>
    </row>
    <row r="1028">
      <c r="A1028" s="2" t="str">
        <v>01/05 ВС</v>
      </c>
      <c r="B1028" s="2" t="str">
        <v>19:00</v>
      </c>
      <c r="C1028" s="2" t="str">
        <v>ЧЕХИЯ ЧЕХИЯ</v>
      </c>
      <c r="D1028" s="2" t="str">
        <v>Яромерж-Хлумец-над-Цидлиноу (Б)</v>
      </c>
      <c r="E1028" s="3">
        <f>-</f>
      </c>
      <c r="F1028" s="3">
        <f>-</f>
      </c>
      <c r="G1028" s="3">
        <f>-</f>
      </c>
      <c r="H1028" s="3">
        <f>=ROUND((1000/((1000/E1028) + (1000/f1028))),2)</f>
      </c>
      <c r="I1028" s="3">
        <f>=ROUND((1000/((1000/E1028) + (1000/G1028))),2)</f>
      </c>
      <c r="J1028" s="3">
        <f>=ROUND((1000/((1000/F1028) + (1000/G1028))),2)</f>
      </c>
    </row>
    <row r="1029">
      <c r="A1029" s="2" t="str">
        <v>01/05 ВС</v>
      </c>
      <c r="B1029" s="2" t="str">
        <v>12:30</v>
      </c>
      <c r="C1029" s="2" t="str">
        <v>ЧЕХИЯ ЧЕХИЯ</v>
      </c>
      <c r="D1029" s="2" t="str">
        <v>Скалице-у-Ческе-Липы-Фридлант</v>
      </c>
      <c r="E1029" s="3">
        <f>-</f>
      </c>
      <c r="F1029" s="3">
        <f>-</f>
      </c>
      <c r="G1029" s="3">
        <f>-</f>
      </c>
      <c r="H1029" s="3">
        <f>=ROUND((1000/((1000/E1029) + (1000/f1029))),2)</f>
      </c>
      <c r="I1029" s="3">
        <f>=ROUND((1000/((1000/E1029) + (1000/G1029))),2)</f>
      </c>
      <c r="J1029" s="3">
        <f>=ROUND((1000/((1000/F1029) + (1000/G1029))),2)</f>
      </c>
    </row>
    <row r="1030">
      <c r="A1030" s="2" t="str">
        <v>01/05 ВС</v>
      </c>
      <c r="B1030" s="2" t="str">
        <v>19:00</v>
      </c>
      <c r="C1030" s="2" t="str">
        <v>ЧЕХИЯ ЧЕХИЯ</v>
      </c>
      <c r="D1030" s="2" t="str">
        <v>Вишнёва-Градек-над-Нисой</v>
      </c>
      <c r="E1030" s="3">
        <f>-</f>
      </c>
      <c r="F1030" s="3">
        <f>-</f>
      </c>
      <c r="G1030" s="3">
        <f>-</f>
      </c>
      <c r="H1030" s="3">
        <f>=ROUND((1000/((1000/E1030) + (1000/f1030))),2)</f>
      </c>
      <c r="I1030" s="3">
        <f>=ROUND((1000/((1000/E1030) + (1000/G1030))),2)</f>
      </c>
      <c r="J1030" s="3">
        <f>=ROUND((1000/((1000/F1030) + (1000/G1030))),2)</f>
      </c>
    </row>
    <row r="1031">
      <c r="A1031" s="2" t="str">
        <v>01/05 ВС</v>
      </c>
      <c r="B1031" s="2" t="str">
        <v>12:30</v>
      </c>
      <c r="C1031" s="2" t="str">
        <v>ЧЕХИЯ ЧЕХИЯ</v>
      </c>
      <c r="D1031" s="2" t="str">
        <v>Кадан-Перштейн</v>
      </c>
      <c r="E1031" s="3">
        <f>-</f>
      </c>
      <c r="F1031" s="3">
        <f>-</f>
      </c>
      <c r="G1031" s="3">
        <f>-</f>
      </c>
      <c r="H1031" s="3">
        <f>=ROUND((1000/((1000/E1031) + (1000/f1031))),2)</f>
      </c>
      <c r="I1031" s="3">
        <f>=ROUND((1000/((1000/E1031) + (1000/G1031))),2)</f>
      </c>
      <c r="J1031" s="3">
        <f>=ROUND((1000/((1000/F1031) + (1000/G1031))),2)</f>
      </c>
    </row>
    <row r="1032">
      <c r="A1032" s="2" t="str">
        <v>01/05 ВС</v>
      </c>
      <c r="B1032" s="2" t="str">
        <v>17:00</v>
      </c>
      <c r="C1032" s="2" t="str">
        <v>ЧЕХИЯ ЧЕХИЯ</v>
      </c>
      <c r="D1032" s="2" t="str">
        <v>Баник Мост (Б)-Брна</v>
      </c>
      <c r="E1032" s="3">
        <f>-</f>
      </c>
      <c r="F1032" s="3">
        <f>-</f>
      </c>
      <c r="G1032" s="3">
        <f>-</f>
      </c>
      <c r="H1032" s="3">
        <f>=ROUND((1000/((1000/E1032) + (1000/f1032))),2)</f>
      </c>
      <c r="I1032" s="3">
        <f>=ROUND((1000/((1000/E1032) + (1000/G1032))),2)</f>
      </c>
      <c r="J1032" s="3">
        <f>=ROUND((1000/((1000/F1032) + (1000/G1032))),2)</f>
      </c>
    </row>
    <row r="1033">
      <c r="A1033" s="2" t="str">
        <v>01/05 ВС</v>
      </c>
      <c r="B1033" s="2" t="str">
        <v>19:00</v>
      </c>
      <c r="C1033" s="2" t="str">
        <v>ЧЕХИЯ ЧЕХИЯ</v>
      </c>
      <c r="D1033" s="2" t="str">
        <v>Модра-Жатец</v>
      </c>
      <c r="E1033" s="3">
        <f>-</f>
      </c>
      <c r="F1033" s="3">
        <f>-</f>
      </c>
      <c r="G1033" s="3">
        <f>-</f>
      </c>
      <c r="H1033" s="3">
        <f>=ROUND((1000/((1000/E1033) + (1000/f1033))),2)</f>
      </c>
      <c r="I1033" s="3">
        <f>=ROUND((1000/((1000/E1033) + (1000/G1033))),2)</f>
      </c>
      <c r="J1033" s="3">
        <f>=ROUND((1000/((1000/F1033) + (1000/G1033))),2)</f>
      </c>
    </row>
    <row r="1034">
      <c r="A1034" s="2" t="str">
        <v>01/05 ВС</v>
      </c>
      <c r="B1034" s="2" t="str">
        <v>18:00</v>
      </c>
      <c r="C1034" s="2" t="str">
        <v>ЧЕХИЯ ЧЕХИЯ</v>
      </c>
      <c r="D1034" s="2" t="str">
        <v>Станков-Горни-Бржиза</v>
      </c>
      <c r="E1034" s="3">
        <f>-</f>
      </c>
      <c r="F1034" s="3">
        <f>-</f>
      </c>
      <c r="G1034" s="3">
        <f>-</f>
      </c>
      <c r="H1034" s="3">
        <f>=ROUND((1000/((1000/E1034) + (1000/f1034))),2)</f>
      </c>
      <c r="I1034" s="3">
        <f>=ROUND((1000/((1000/E1034) + (1000/G1034))),2)</f>
      </c>
      <c r="J1034" s="3">
        <f>=ROUND((1000/((1000/F1034) + (1000/G1034))),2)</f>
      </c>
    </row>
    <row r="1035">
      <c r="A1035" s="2" t="str">
        <v>01/05 ВС</v>
      </c>
      <c r="B1035" s="2" t="str">
        <v>19:00</v>
      </c>
      <c r="C1035" s="2" t="str">
        <v>ЧЕХИЯ ЧЕХИЯ</v>
      </c>
      <c r="D1035" s="2" t="str">
        <v>Домазлице (Б)-Сокол Лхота</v>
      </c>
      <c r="E1035" s="3">
        <f>-</f>
      </c>
      <c r="F1035" s="3">
        <f>-</f>
      </c>
      <c r="G1035" s="3">
        <f>-</f>
      </c>
      <c r="H1035" s="3">
        <f>=ROUND((1000/((1000/E1035) + (1000/f1035))),2)</f>
      </c>
      <c r="I1035" s="3">
        <f>=ROUND((1000/((1000/E1035) + (1000/G1035))),2)</f>
      </c>
      <c r="J1035" s="3">
        <f>=ROUND((1000/((1000/F1035) + (1000/G1035))),2)</f>
      </c>
    </row>
    <row r="1036">
      <c r="A1036" s="2" t="str">
        <v>01/05 ВС</v>
      </c>
      <c r="B1036" s="2" t="str">
        <v>12:30</v>
      </c>
      <c r="C1036" s="2" t="str">
        <v>ЧЕХИЯ ЧЕХИЯ</v>
      </c>
      <c r="D1036" s="2" t="str">
        <v>Требон-Чески-Крумлов</v>
      </c>
      <c r="E1036" s="3">
        <f>-</f>
      </c>
      <c r="F1036" s="3">
        <f>-</f>
      </c>
      <c r="G1036" s="3">
        <f>-</f>
      </c>
      <c r="H1036" s="3">
        <f>=ROUND((1000/((1000/E1036) + (1000/f1036))),2)</f>
      </c>
      <c r="I1036" s="3">
        <f>=ROUND((1000/((1000/E1036) + (1000/G1036))),2)</f>
      </c>
      <c r="J1036" s="3">
        <f>=ROUND((1000/((1000/F1036) + (1000/G1036))),2)</f>
      </c>
    </row>
    <row r="1037">
      <c r="A1037" s="2" t="str">
        <v>01/05 ВС</v>
      </c>
      <c r="B1037" s="2" t="str">
        <v>19:00</v>
      </c>
      <c r="C1037" s="2" t="str">
        <v>ЧЕХИЯ ЧЕХИЯ</v>
      </c>
      <c r="D1037" s="2" t="str">
        <v>Милевско-Дразице</v>
      </c>
      <c r="E1037" s="3">
        <f>-</f>
      </c>
      <c r="F1037" s="3">
        <f>-</f>
      </c>
      <c r="G1037" s="3">
        <f>-</f>
      </c>
      <c r="H1037" s="3">
        <f>=ROUND((1000/((1000/E1037) + (1000/f1037))),2)</f>
      </c>
      <c r="I1037" s="3">
        <f>=ROUND((1000/((1000/E1037) + (1000/G1037))),2)</f>
      </c>
      <c r="J1037" s="3">
        <f>=ROUND((1000/((1000/F1037) + (1000/G1037))),2)</f>
      </c>
    </row>
    <row r="1038">
      <c r="A1038" s="2" t="str">
        <v>01/05 ВС</v>
      </c>
      <c r="B1038" s="2" t="str">
        <v>19:00</v>
      </c>
      <c r="C1038" s="2" t="str">
        <v>ЧЕХИЯ ЧЕХИЯ</v>
      </c>
      <c r="D1038" s="2" t="str">
        <v>Велим-Лхота</v>
      </c>
      <c r="E1038" s="3">
        <f>-</f>
      </c>
      <c r="F1038" s="3">
        <f>-</f>
      </c>
      <c r="G1038" s="3">
        <f>-</f>
      </c>
      <c r="H1038" s="3">
        <f>=ROUND((1000/((1000/E1038) + (1000/f1038))),2)</f>
      </c>
      <c r="I1038" s="3">
        <f>=ROUND((1000/((1000/E1038) + (1000/G1038))),2)</f>
      </c>
      <c r="J1038" s="3">
        <f>=ROUND((1000/((1000/F1038) + (1000/G1038))),2)</f>
      </c>
    </row>
    <row r="1039">
      <c r="A1039" s="2" t="str">
        <v>01/05 ВС</v>
      </c>
      <c r="B1039" s="2" t="str">
        <v>19:00</v>
      </c>
      <c r="C1039" s="2" t="str">
        <v>ЧЕХИЯ ЧЕХИЯ</v>
      </c>
      <c r="D1039" s="2" t="str">
        <v>Нимбурк-Лиса-над-Лабем</v>
      </c>
      <c r="E1039" s="3">
        <f>-</f>
      </c>
      <c r="F1039" s="3">
        <f>-</f>
      </c>
      <c r="G1039" s="3">
        <f>-</f>
      </c>
      <c r="H1039" s="3">
        <f>=ROUND((1000/((1000/E1039) + (1000/f1039))),2)</f>
      </c>
      <c r="I1039" s="3">
        <f>=ROUND((1000/((1000/E1039) + (1000/G1039))),2)</f>
      </c>
      <c r="J1039" s="3">
        <f>=ROUND((1000/((1000/F1039) + (1000/G1039))),2)</f>
      </c>
    </row>
    <row r="1040">
      <c r="A1040" s="2" t="str">
        <v>01/05 ВС</v>
      </c>
      <c r="B1040" s="2" t="str">
        <v>19:00</v>
      </c>
      <c r="C1040" s="2" t="str">
        <v>ЧЕХИЯ ЧЕХИЯ</v>
      </c>
      <c r="D1040" s="2" t="str">
        <v>Ческий Брод (Б)-Богемия Подебради</v>
      </c>
      <c r="E1040" s="3">
        <f>-</f>
      </c>
      <c r="F1040" s="3">
        <f>-</f>
      </c>
      <c r="G1040" s="3">
        <f>-</f>
      </c>
      <c r="H1040" s="3">
        <f>=ROUND((1000/((1000/E1040) + (1000/f1040))),2)</f>
      </c>
      <c r="I1040" s="3">
        <f>=ROUND((1000/((1000/E1040) + (1000/G1040))),2)</f>
      </c>
      <c r="J1040" s="3">
        <f>=ROUND((1000/((1000/F1040) + (1000/G1040))),2)</f>
      </c>
    </row>
    <row r="1041">
      <c r="A1041" s="2" t="str">
        <v>01/05 ВС</v>
      </c>
      <c r="B1041" s="2" t="str">
        <v>12:00</v>
      </c>
      <c r="C1041" s="2" t="str">
        <v>ЧЕХИЯ ЧЕХИЯ</v>
      </c>
      <c r="D1041" s="2" t="str">
        <v>Карловы Вары (Б)-Ломнице</v>
      </c>
      <c r="E1041" s="3">
        <f>-</f>
      </c>
      <c r="F1041" s="3">
        <f>-</f>
      </c>
      <c r="G1041" s="3">
        <f>-</f>
      </c>
      <c r="H1041" s="3">
        <f>=ROUND((1000/((1000/E1041) + (1000/f1041))),2)</f>
      </c>
      <c r="I1041" s="3">
        <f>=ROUND((1000/((1000/E1041) + (1000/G1041))),2)</f>
      </c>
      <c r="J1041" s="3">
        <f>=ROUND((1000/((1000/F1041) + (1000/G1041))),2)</f>
      </c>
    </row>
    <row r="1042">
      <c r="A1042" s="2" t="str">
        <v>01/05 ВС</v>
      </c>
      <c r="B1042" s="2" t="str">
        <v>18:30</v>
      </c>
      <c r="C1042" s="2" t="str">
        <v>ЧЕХИЯ ЧЕХИЯ</v>
      </c>
      <c r="D1042" s="2" t="str">
        <v>Богуновице-Кралице-на-Гане</v>
      </c>
      <c r="E1042" s="3">
        <f>-</f>
      </c>
      <c r="F1042" s="3">
        <f>-</f>
      </c>
      <c r="G1042" s="3">
        <f>-</f>
      </c>
      <c r="H1042" s="3">
        <f>=ROUND((1000/((1000/E1042) + (1000/f1042))),2)</f>
      </c>
      <c r="I1042" s="3">
        <f>=ROUND((1000/((1000/E1042) + (1000/G1042))),2)</f>
      </c>
      <c r="J1042" s="3">
        <f>=ROUND((1000/((1000/F1042) + (1000/G1042))),2)</f>
      </c>
    </row>
    <row r="1043">
      <c r="A1043" s="2" t="str">
        <v>01/05 ВС</v>
      </c>
      <c r="B1043" s="2" t="str">
        <v>18:30</v>
      </c>
      <c r="C1043" s="2" t="str">
        <v>ЧЕХИЯ ЧЕХИЯ</v>
      </c>
      <c r="D1043" s="2" t="str">
        <v>Бродек-у-Пршерова-Могельнице</v>
      </c>
      <c r="E1043" s="3">
        <f>-</f>
      </c>
      <c r="F1043" s="3">
        <f>-</f>
      </c>
      <c r="G1043" s="3">
        <f>-</f>
      </c>
      <c r="H1043" s="3">
        <f>=ROUND((1000/((1000/E1043) + (1000/f1043))),2)</f>
      </c>
      <c r="I1043" s="3">
        <f>=ROUND((1000/((1000/E1043) + (1000/G1043))),2)</f>
      </c>
      <c r="J1043" s="3">
        <f>=ROUND((1000/((1000/F1043) + (1000/G1043))),2)</f>
      </c>
    </row>
    <row r="1044">
      <c r="A1044" s="2" t="str">
        <v>01/05 ВС</v>
      </c>
      <c r="B1044" s="2" t="str">
        <v>18:30</v>
      </c>
      <c r="C1044" s="2" t="str">
        <v>ЧЕХИЯ ЧЕХИЯ</v>
      </c>
      <c r="D1044" s="2" t="str">
        <v>Забржег-Сокол Усти</v>
      </c>
      <c r="E1044" s="3">
        <f>-</f>
      </c>
      <c r="F1044" s="3">
        <f>-</f>
      </c>
      <c r="G1044" s="3">
        <f>-</f>
      </c>
      <c r="H1044" s="3">
        <f>=ROUND((1000/((1000/E1044) + (1000/f1044))),2)</f>
      </c>
      <c r="I1044" s="3">
        <f>=ROUND((1000/((1000/E1044) + (1000/G1044))),2)</f>
      </c>
      <c r="J1044" s="3">
        <f>=ROUND((1000/((1000/F1044) + (1000/G1044))),2)</f>
      </c>
    </row>
    <row r="1045">
      <c r="A1045" s="2" t="str">
        <v>01/05 ВС</v>
      </c>
      <c r="B1045" s="2" t="str">
        <v>18:30</v>
      </c>
      <c r="C1045" s="2" t="str">
        <v>ЧЕХИЯ ЧЕХИЯ</v>
      </c>
      <c r="D1045" s="2" t="str">
        <v>Медлов-Доляны</v>
      </c>
      <c r="E1045" s="3">
        <f>-</f>
      </c>
      <c r="F1045" s="3">
        <f>-</f>
      </c>
      <c r="G1045" s="3">
        <f>-</f>
      </c>
      <c r="H1045" s="3">
        <f>=ROUND((1000/((1000/E1045) + (1000/f1045))),2)</f>
      </c>
      <c r="I1045" s="3">
        <f>=ROUND((1000/((1000/E1045) + (1000/G1045))),2)</f>
      </c>
      <c r="J1045" s="3">
        <f>=ROUND((1000/((1000/F1045) + (1000/G1045))),2)</f>
      </c>
    </row>
    <row r="1046">
      <c r="A1046" s="2" t="str">
        <v>01/05 ВС</v>
      </c>
      <c r="B1046" s="2" t="str">
        <v>18:30</v>
      </c>
      <c r="C1046" s="2" t="str">
        <v>ЧЕХИЯ ЧЕХИЯ</v>
      </c>
      <c r="D1046" s="2" t="str">
        <v>Рапотин-Литовель</v>
      </c>
      <c r="E1046" s="3">
        <f>-</f>
      </c>
      <c r="F1046" s="3">
        <f>-</f>
      </c>
      <c r="G1046" s="3">
        <f>-</f>
      </c>
      <c r="H1046" s="3">
        <f>=ROUND((1000/((1000/E1046) + (1000/f1046))),2)</f>
      </c>
      <c r="I1046" s="3">
        <f>=ROUND((1000/((1000/E1046) + (1000/G1046))),2)</f>
      </c>
      <c r="J1046" s="3">
        <f>=ROUND((1000/((1000/F1046) + (1000/G1046))),2)</f>
      </c>
    </row>
    <row r="1047">
      <c r="A1047" s="2" t="str">
        <v>01/05 ВС</v>
      </c>
      <c r="B1047" s="2" t="str">
        <v>12:15</v>
      </c>
      <c r="C1047" s="2" t="str">
        <v>ЧЕХИЯ ЧЕХИЯ</v>
      </c>
      <c r="D1047" s="2" t="str">
        <v>Хрудим (Б)-Роговладова Бела</v>
      </c>
      <c r="E1047" s="3">
        <f>-</f>
      </c>
      <c r="F1047" s="3">
        <f>-</f>
      </c>
      <c r="G1047" s="3">
        <f>-</f>
      </c>
      <c r="H1047" s="3">
        <f>=ROUND((1000/((1000/E1047) + (1000/f1047))),2)</f>
      </c>
      <c r="I1047" s="3">
        <f>=ROUND((1000/((1000/E1047) + (1000/G1047))),2)</f>
      </c>
      <c r="J1047" s="3">
        <f>=ROUND((1000/((1000/F1047) + (1000/G1047))),2)</f>
      </c>
    </row>
    <row r="1048">
      <c r="A1048" s="2" t="str">
        <v>01/05 ВС</v>
      </c>
      <c r="B1048" s="2" t="str">
        <v>18:00</v>
      </c>
      <c r="C1048" s="2" t="str">
        <v>ЧЕХИЯ ЧЕХИЯ</v>
      </c>
      <c r="D1048" s="2" t="str">
        <v>Гержманув Местец-Хоцень</v>
      </c>
      <c r="E1048" s="3">
        <f>-</f>
      </c>
      <c r="F1048" s="3">
        <f>-</f>
      </c>
      <c r="G1048" s="3">
        <f>-</f>
      </c>
      <c r="H1048" s="3">
        <f>=ROUND((1000/((1000/E1048) + (1000/f1048))),2)</f>
      </c>
      <c r="I1048" s="3">
        <f>=ROUND((1000/((1000/E1048) + (1000/G1048))),2)</f>
      </c>
      <c r="J1048" s="3">
        <f>=ROUND((1000/((1000/F1048) + (1000/G1048))),2)</f>
      </c>
    </row>
    <row r="1049">
      <c r="A1049" s="2" t="str">
        <v>01/05 ВС</v>
      </c>
      <c r="B1049" s="2" t="str">
        <v>18:00</v>
      </c>
      <c r="C1049" s="2" t="str">
        <v>ЧЕХИЯ ЧЕХИЯ</v>
      </c>
      <c r="D1049" s="2" t="str">
        <v>Мораваны-Лузе</v>
      </c>
      <c r="E1049" s="3">
        <f>-</f>
      </c>
      <c r="F1049" s="3">
        <f>-</f>
      </c>
      <c r="G1049" s="3">
        <f>-</f>
      </c>
      <c r="H1049" s="3">
        <f>=ROUND((1000/((1000/E1049) + (1000/f1049))),2)</f>
      </c>
      <c r="I1049" s="3">
        <f>=ROUND((1000/((1000/E1049) + (1000/G1049))),2)</f>
      </c>
      <c r="J1049" s="3">
        <f>=ROUND((1000/((1000/F1049) + (1000/G1049))),2)</f>
      </c>
    </row>
    <row r="1050">
      <c r="A1050" s="2" t="str">
        <v>01/05 ВС</v>
      </c>
      <c r="B1050" s="2" t="str">
        <v>18:00</v>
      </c>
      <c r="C1050" s="2" t="str">
        <v>ЧЕХИЯ ЧЕХИЯ</v>
      </c>
      <c r="D1050" s="2" t="str">
        <v>Моравска-Тршебова-Просеч</v>
      </c>
      <c r="E1050" s="3">
        <f>-</f>
      </c>
      <c r="F1050" s="3">
        <f>-</f>
      </c>
      <c r="G1050" s="3">
        <f>-</f>
      </c>
      <c r="H1050" s="3">
        <f>=ROUND((1000/((1000/E1050) + (1000/f1050))),2)</f>
      </c>
      <c r="I1050" s="3">
        <f>=ROUND((1000/((1000/E1050) + (1000/G1050))),2)</f>
      </c>
      <c r="J1050" s="3">
        <f>=ROUND((1000/((1000/F1050) + (1000/G1050))),2)</f>
      </c>
    </row>
    <row r="1051">
      <c r="A1051" s="2" t="str">
        <v>01/05 ВС</v>
      </c>
      <c r="B1051" s="2" t="str">
        <v>18:00</v>
      </c>
      <c r="C1051" s="2" t="str">
        <v>ЧЕХИЯ ЧЕХИЯ</v>
      </c>
      <c r="D1051" s="2" t="str">
        <v>Свитави-Ланшкроун</v>
      </c>
      <c r="E1051" s="3">
        <f>-</f>
      </c>
      <c r="F1051" s="3">
        <f>-</f>
      </c>
      <c r="G1051" s="3">
        <f>-</f>
      </c>
      <c r="H1051" s="3">
        <f>=ROUND((1000/((1000/E1051) + (1000/f1051))),2)</f>
      </c>
      <c r="I1051" s="3">
        <f>=ROUND((1000/((1000/E1051) + (1000/G1051))),2)</f>
      </c>
      <c r="J1051" s="3">
        <f>=ROUND((1000/((1000/F1051) + (1000/G1051))),2)</f>
      </c>
    </row>
    <row r="1052">
      <c r="A1052" s="2" t="str">
        <v>01/05 ВС</v>
      </c>
      <c r="B1052" s="2" t="str">
        <v>12:30</v>
      </c>
      <c r="C1052" s="2" t="str">
        <v>ЧЕХИЯ ЧЕХИЯ</v>
      </c>
      <c r="D1052" s="2" t="str">
        <v>Дукла Прага (Ж)-Пльзень (Ж)</v>
      </c>
      <c r="E1052" s="3">
        <f>-</f>
      </c>
      <c r="F1052" s="3">
        <f>-</f>
      </c>
      <c r="G1052" s="3">
        <f>-</f>
      </c>
      <c r="H1052" s="3">
        <f>=ROUND((1000/((1000/E1052) + (1000/f1052))),2)</f>
      </c>
      <c r="I1052" s="3">
        <f>=ROUND((1000/((1000/E1052) + (1000/G1052))),2)</f>
      </c>
      <c r="J1052" s="3">
        <f>=ROUND((1000/((1000/F1052) + (1000/G1052))),2)</f>
      </c>
    </row>
    <row r="1053">
      <c r="A1053" s="2" t="str">
        <v>01/05 ВС</v>
      </c>
      <c r="B1053" s="2" t="str">
        <v>15:00</v>
      </c>
      <c r="C1053" s="2" t="str">
        <v>ЧЕХИЯ ЧЕХИЯ</v>
      </c>
      <c r="D1053" s="2" t="str">
        <v>Пардубице (Ж)-Слован Либерец (Ж)</v>
      </c>
      <c r="E1053" s="3">
        <f>-</f>
      </c>
      <c r="F1053" s="3">
        <f>-</f>
      </c>
      <c r="G1053" s="3">
        <f>-</f>
      </c>
      <c r="H1053" s="3">
        <f>=ROUND((1000/((1000/E1053) + (1000/f1053))),2)</f>
      </c>
      <c r="I1053" s="3">
        <f>=ROUND((1000/((1000/E1053) + (1000/G1053))),2)</f>
      </c>
      <c r="J1053" s="3">
        <f>=ROUND((1000/((1000/F1053) + (1000/G1053))),2)</f>
      </c>
    </row>
    <row r="1054">
      <c r="A1054" s="2" t="str">
        <v>01/05 ВС</v>
      </c>
      <c r="B1054" s="2" t="str">
        <v>15:00</v>
      </c>
      <c r="C1054" s="2" t="str">
        <v>ЧЕХИЯ ЧЕХИЯ</v>
      </c>
      <c r="D1054" s="2" t="str">
        <v>Словацко (Ж)-Спарта Прага (Ж)</v>
      </c>
      <c r="E1054" s="3">
        <f>-</f>
      </c>
      <c r="F1054" s="3">
        <f>-</f>
      </c>
      <c r="G1054" s="3">
        <f>-</f>
      </c>
      <c r="H1054" s="3">
        <f>=ROUND((1000/((1000/E1054) + (1000/f1054))),2)</f>
      </c>
      <c r="I1054" s="3">
        <f>=ROUND((1000/((1000/E1054) + (1000/G1054))),2)</f>
      </c>
      <c r="J1054" s="3">
        <f>=ROUND((1000/((1000/F1054) + (1000/G1054))),2)</f>
      </c>
    </row>
    <row r="1055">
      <c r="A1055" s="2" t="str">
        <v>01/05 ВС</v>
      </c>
      <c r="B1055" s="2" t="str">
        <v>16:30</v>
      </c>
      <c r="C1055" s="2" t="str">
        <v>ЧЕХИЯ ЧЕХИЯ</v>
      </c>
      <c r="D1055" s="2" t="str">
        <v>Оломоуц (Ж)-Теплице (Ж)</v>
      </c>
      <c r="E1055" s="3">
        <f>-</f>
      </c>
      <c r="F1055" s="3">
        <f>-</f>
      </c>
      <c r="G1055" s="3">
        <f>-</f>
      </c>
      <c r="H1055" s="3">
        <f>=ROUND((1000/((1000/E1055) + (1000/f1055))),2)</f>
      </c>
      <c r="I1055" s="3">
        <f>=ROUND((1000/((1000/E1055) + (1000/G1055))),2)</f>
      </c>
      <c r="J1055" s="3">
        <f>=ROUND((1000/((1000/F1055) + (1000/G1055))),2)</f>
      </c>
    </row>
    <row r="1056">
      <c r="A1056" s="2" t="str">
        <v>01/05 ВС</v>
      </c>
      <c r="B1056" s="2" t="str">
        <v>17:00</v>
      </c>
      <c r="C1056" s="2" t="str">
        <v>ЧЕХИЯ ЧЕХИЯ</v>
      </c>
      <c r="D1056" s="2" t="str">
        <v>Градец-Кралове (Ж)-Лишень (Ж)</v>
      </c>
      <c r="E1056" s="3">
        <f>-</f>
      </c>
      <c r="F1056" s="3">
        <f>-</f>
      </c>
      <c r="G1056" s="3">
        <f>-</f>
      </c>
      <c r="H1056" s="3">
        <f>=ROUND((1000/((1000/E1056) + (1000/f1056))),2)</f>
      </c>
      <c r="I1056" s="3">
        <f>=ROUND((1000/((1000/E1056) + (1000/G1056))),2)</f>
      </c>
      <c r="J1056" s="3">
        <f>=ROUND((1000/((1000/F1056) + (1000/G1056))),2)</f>
      </c>
    </row>
    <row r="1057">
      <c r="A1057" s="2" t="str">
        <v>01/05 ВС</v>
      </c>
      <c r="B1057" s="2" t="str">
        <v>17:00</v>
      </c>
      <c r="C1057" s="2" t="str">
        <v>ЧЕХИЯ ЧЕХИЯ</v>
      </c>
      <c r="D1057" s="2" t="str">
        <v>Спарта Прага (Б) (Ж)-Острава (Ж)</v>
      </c>
      <c r="E1057" s="3">
        <f>-</f>
      </c>
      <c r="F1057" s="3">
        <f>-</f>
      </c>
      <c r="G1057" s="3">
        <f>-</f>
      </c>
      <c r="H1057" s="3">
        <f>=ROUND((1000/((1000/E1057) + (1000/f1057))),2)</f>
      </c>
      <c r="I1057" s="3">
        <f>=ROUND((1000/((1000/E1057) + (1000/G1057))),2)</f>
      </c>
      <c r="J1057" s="3">
        <f>=ROUND((1000/((1000/F1057) + (1000/G1057))),2)</f>
      </c>
    </row>
    <row r="1058">
      <c r="A1058" s="2" t="str">
        <v>01/05 ВС</v>
      </c>
      <c r="B1058" s="2" t="str">
        <v>01:00</v>
      </c>
      <c r="C1058" s="2" t="str">
        <v>ЧИЛИ ЧИЛИ</v>
      </c>
      <c r="D1058" s="2" t="str">
        <v>Рейнджерс Де Талка-С. Монинг</v>
      </c>
      <c r="E1058" s="3">
        <f>-</f>
      </c>
      <c r="F1058" s="3">
        <f>-</f>
      </c>
      <c r="G1058" s="3">
        <f>-</f>
      </c>
      <c r="H1058" s="3">
        <f>=ROUND((1000/((1000/E1058) + (1000/f1058))),2)</f>
      </c>
      <c r="I1058" s="3">
        <f>=ROUND((1000/((1000/E1058) + (1000/G1058))),2)</f>
      </c>
      <c r="J1058" s="3">
        <f>=ROUND((1000/((1000/F1058) + (1000/G1058))),2)</f>
      </c>
    </row>
    <row r="1059">
      <c r="A1059" s="2" t="str">
        <v>01/05 ВС</v>
      </c>
      <c r="B1059" s="2" t="str">
        <v>03:30</v>
      </c>
      <c r="C1059" s="2" t="str">
        <v>ЧИЛИ ЧИЛИ</v>
      </c>
      <c r="D1059" s="2" t="str">
        <v>Реколета-Сантьяго Вандерерс</v>
      </c>
      <c r="E1059" s="3">
        <f>-</f>
      </c>
      <c r="F1059" s="3">
        <f>-</f>
      </c>
      <c r="G1059" s="3">
        <f>-</f>
      </c>
      <c r="H1059" s="3">
        <f>=ROUND((1000/((1000/E1059) + (1000/f1059))),2)</f>
      </c>
      <c r="I1059" s="3">
        <f>=ROUND((1000/((1000/E1059) + (1000/G1059))),2)</f>
      </c>
      <c r="J1059" s="3">
        <f>=ROUND((1000/((1000/F1059) + (1000/G1059))),2)</f>
      </c>
    </row>
    <row r="1060">
      <c r="A1060" s="2" t="str">
        <v>01/05 ВС</v>
      </c>
      <c r="B1060" s="2" t="str">
        <v>16:15</v>
      </c>
      <c r="C1060" s="2" t="str">
        <v>ШВЕЙЦАРИЯ ШВЕЙЦАРИЯ</v>
      </c>
      <c r="D1060" s="2" t="str">
        <v>Сьон-Янг Бойз</v>
      </c>
      <c r="E1060" s="3">
        <f>4.20</f>
      </c>
      <c r="F1060" s="3">
        <f>4.50</f>
      </c>
      <c r="G1060" s="3">
        <f>1.70</f>
      </c>
      <c r="H1060" s="3">
        <f>=ROUND((1000/((1000/E1060) + (1000/f1060))),2)</f>
      </c>
      <c r="I1060" s="3">
        <f>=ROUND((1000/((1000/E1060) + (1000/G1060))),2)</f>
      </c>
      <c r="J1060" s="3">
        <f>=ROUND((1000/((1000/F1060) + (1000/G1060))),2)</f>
      </c>
    </row>
    <row r="1061">
      <c r="A1061" s="2" t="str">
        <v>01/05 ВС</v>
      </c>
      <c r="B1061" s="2" t="str">
        <v>18:30</v>
      </c>
      <c r="C1061" s="2" t="str">
        <v>ШВЕЙЦАРИЯ ШВЕЙЦАРИЯ</v>
      </c>
      <c r="D1061" s="2" t="str">
        <v>Базель-Цюрих</v>
      </c>
      <c r="E1061" s="3">
        <f>2.50</f>
      </c>
      <c r="F1061" s="3">
        <f>3.50</f>
      </c>
      <c r="G1061" s="3">
        <f>2.70</f>
      </c>
      <c r="H1061" s="3">
        <f>=ROUND((1000/((1000/E1061) + (1000/f1061))),2)</f>
      </c>
      <c r="I1061" s="3">
        <f>=ROUND((1000/((1000/E1061) + (1000/G1061))),2)</f>
      </c>
      <c r="J1061" s="3">
        <f>=ROUND((1000/((1000/F1061) + (1000/G1061))),2)</f>
      </c>
    </row>
    <row r="1062">
      <c r="A1062" s="2" t="str">
        <v>01/05 ВС</v>
      </c>
      <c r="B1062" s="2" t="str">
        <v>18:30</v>
      </c>
      <c r="C1062" s="2" t="str">
        <v>ШВЕЙЦАРИЯ ШВЕЙЦАРИЯ</v>
      </c>
      <c r="D1062" s="2" t="str">
        <v>Люцерн-Лозанна</v>
      </c>
      <c r="E1062" s="3">
        <f>1.75</f>
      </c>
      <c r="F1062" s="3">
        <f>3.80</f>
      </c>
      <c r="G1062" s="3">
        <f>4.50</f>
      </c>
      <c r="H1062" s="3">
        <f>=ROUND((1000/((1000/E1062) + (1000/f1062))),2)</f>
      </c>
      <c r="I1062" s="3">
        <f>=ROUND((1000/((1000/E1062) + (1000/G1062))),2)</f>
      </c>
      <c r="J1062" s="3">
        <f>=ROUND((1000/((1000/F1062) + (1000/G1062))),2)</f>
      </c>
    </row>
    <row r="1063" xml:space="preserve">
      <c r="A1063" s="2" t="str">
        <v>01/05 ВС</v>
      </c>
      <c r="B1063" s="2" t="str" xml:space="preserve">
        <v xml:space="preserve">16:00_x000d_
TKP</v>
      </c>
      <c r="C1063" s="2" t="str">
        <v>ШВЕЙЦАРИЯ ШВЕЙЦАРИЯ</v>
      </c>
      <c r="D1063" s="2" t="str">
        <v>Лозанна II-Монтей</v>
      </c>
      <c r="E1063" s="3">
        <f>-</f>
      </c>
      <c r="F1063" s="3">
        <f>-</f>
      </c>
      <c r="G1063" s="3">
        <f>-</f>
      </c>
      <c r="H1063" s="3">
        <f>=ROUND((1000/((1000/E1063) + (1000/f1063))),2)</f>
      </c>
      <c r="I1063" s="3">
        <f>=ROUND((1000/((1000/E1063) + (1000/G1063))),2)</f>
      </c>
      <c r="J1063" s="3">
        <f>=ROUND((1000/((1000/F1063) + (1000/G1063))),2)</f>
      </c>
    </row>
    <row r="1064" xml:space="preserve">
      <c r="A1064" s="2" t="str">
        <v>01/05 ВС</v>
      </c>
      <c r="B1064" s="2" t="str" xml:space="preserve">
        <v xml:space="preserve">16:00_x000d_
TKP</v>
      </c>
      <c r="C1064" s="2" t="str">
        <v>ШВЕЙЦАРИЯ ШВЕЙЦАРИЯ</v>
      </c>
      <c r="D1064" s="2" t="str">
        <v>Тун II-Веве</v>
      </c>
      <c r="E1064" s="3">
        <f>-</f>
      </c>
      <c r="F1064" s="3">
        <f>-</f>
      </c>
      <c r="G1064" s="3">
        <f>-</f>
      </c>
      <c r="H1064" s="3">
        <f>=ROUND((1000/((1000/E1064) + (1000/f1064))),2)</f>
      </c>
      <c r="I1064" s="3">
        <f>=ROUND((1000/((1000/E1064) + (1000/G1064))),2)</f>
      </c>
      <c r="J1064" s="3">
        <f>=ROUND((1000/((1000/F1064) + (1000/G1064))),2)</f>
      </c>
    </row>
    <row r="1065" xml:space="preserve">
      <c r="A1065" s="2" t="str">
        <v>01/05 ВС</v>
      </c>
      <c r="B1065" s="2" t="str" xml:space="preserve">
        <v xml:space="preserve">17:00_x000d_
TKP</v>
      </c>
      <c r="C1065" s="2" t="str">
        <v>ШВЕЙЦАРИЯ ШВЕЙЦАРИЯ</v>
      </c>
      <c r="D1065" s="2" t="str">
        <v>Саррас-Эклеплен-Терр-Сент</v>
      </c>
      <c r="E1065" s="3">
        <f>-</f>
      </c>
      <c r="F1065" s="3">
        <f>-</f>
      </c>
      <c r="G1065" s="3">
        <f>-</f>
      </c>
      <c r="H1065" s="3">
        <f>=ROUND((1000/((1000/E1065) + (1000/f1065))),2)</f>
      </c>
      <c r="I1065" s="3">
        <f>=ROUND((1000/((1000/E1065) + (1000/G1065))),2)</f>
      </c>
      <c r="J1065" s="3">
        <f>=ROUND((1000/((1000/F1065) + (1000/G1065))),2)</f>
      </c>
    </row>
    <row r="1066" xml:space="preserve">
      <c r="A1066" s="2" t="str">
        <v>01/05 ВС</v>
      </c>
      <c r="B1066" s="2" t="str" xml:space="preserve">
        <v xml:space="preserve">17:00_x000d_
TKP</v>
      </c>
      <c r="C1066" s="2" t="str">
        <v>ШВЕЙЦАРИЯ ШВЕЙЦАРИЯ</v>
      </c>
      <c r="D1066" s="2" t="str">
        <v>Лангенталь-Мюнзинген</v>
      </c>
      <c r="E1066" s="3">
        <f>-</f>
      </c>
      <c r="F1066" s="3">
        <f>-</f>
      </c>
      <c r="G1066" s="3">
        <f>-</f>
      </c>
      <c r="H1066" s="3">
        <f>=ROUND((1000/((1000/E1066) + (1000/f1066))),2)</f>
      </c>
      <c r="I1066" s="3">
        <f>=ROUND((1000/((1000/E1066) + (1000/G1066))),2)</f>
      </c>
      <c r="J1066" s="3">
        <f>=ROUND((1000/((1000/F1066) + (1000/G1066))),2)</f>
      </c>
    </row>
    <row r="1067" xml:space="preserve">
      <c r="A1067" s="2" t="str">
        <v>01/05 ВС</v>
      </c>
      <c r="B1067" s="2" t="str" xml:space="preserve">
        <v xml:space="preserve">16:00_x000d_
TKP</v>
      </c>
      <c r="C1067" s="2" t="str">
        <v>ШВЕЙЦАРИЯ ШВЕЙЦАРИЯ</v>
      </c>
      <c r="D1067" s="2" t="str">
        <v>Лугано II-Госсау</v>
      </c>
      <c r="E1067" s="3">
        <f>-</f>
      </c>
      <c r="F1067" s="3">
        <f>-</f>
      </c>
      <c r="G1067" s="3">
        <f>-</f>
      </c>
      <c r="H1067" s="3">
        <f>=ROUND((1000/((1000/E1067) + (1000/f1067))),2)</f>
      </c>
      <c r="I1067" s="3">
        <f>=ROUND((1000/((1000/E1067) + (1000/G1067))),2)</f>
      </c>
      <c r="J1067" s="3">
        <f>=ROUND((1000/((1000/F1067) + (1000/G1067))),2)</f>
      </c>
    </row>
    <row r="1068">
      <c r="A1068" s="2" t="str">
        <v>01/05 ВС</v>
      </c>
      <c r="B1068" s="2" t="str">
        <v>17:00</v>
      </c>
      <c r="C1068" s="2" t="str">
        <v>ШВЕЦИЯ ШВЕЦИЯ</v>
      </c>
      <c r="D1068" s="2" t="str">
        <v>Дегерфорс-Эльфсборг</v>
      </c>
      <c r="E1068" s="3">
        <f>4.00</f>
      </c>
      <c r="F1068" s="3">
        <f>4.20</f>
      </c>
      <c r="G1068" s="3">
        <f>1.75</f>
      </c>
      <c r="H1068" s="3">
        <f>=ROUND((1000/((1000/E1068) + (1000/f1068))),2)</f>
      </c>
      <c r="I1068" s="3">
        <f>=ROUND((1000/((1000/E1068) + (1000/G1068))),2)</f>
      </c>
      <c r="J1068" s="3">
        <f>=ROUND((1000/((1000/F1068) + (1000/G1068))),2)</f>
      </c>
    </row>
    <row r="1069">
      <c r="A1069" s="2" t="str">
        <v>01/05 ВС</v>
      </c>
      <c r="B1069" s="2" t="str">
        <v>17:00</v>
      </c>
      <c r="C1069" s="2" t="str">
        <v>ШВЕЦИЯ ШВЕЦИЯ</v>
      </c>
      <c r="D1069" s="2" t="str">
        <v>Мьёльбю-Хельсингборг</v>
      </c>
      <c r="E1069" s="3">
        <f>1.75</f>
      </c>
      <c r="F1069" s="3">
        <f>3.50</f>
      </c>
      <c r="G1069" s="3">
        <f>5.00</f>
      </c>
      <c r="H1069" s="3">
        <f>=ROUND((1000/((1000/E1069) + (1000/f1069))),2)</f>
      </c>
      <c r="I1069" s="3">
        <f>=ROUND((1000/((1000/E1069) + (1000/G1069))),2)</f>
      </c>
      <c r="J1069" s="3">
        <f>=ROUND((1000/((1000/F1069) + (1000/G1069))),2)</f>
      </c>
    </row>
    <row r="1070">
      <c r="A1070" s="2" t="str">
        <v>01/05 ВС</v>
      </c>
      <c r="B1070" s="2" t="str">
        <v>19:30</v>
      </c>
      <c r="C1070" s="2" t="str">
        <v>ШВЕЦИЯ ШВЕЦИЯ</v>
      </c>
      <c r="D1070" s="2" t="str">
        <v>Сундсвалль-АИК</v>
      </c>
      <c r="E1070" s="3">
        <f>6.00</f>
      </c>
      <c r="F1070" s="3">
        <f>4.00</f>
      </c>
      <c r="G1070" s="3">
        <f>1.55</f>
      </c>
      <c r="H1070" s="3">
        <f>=ROUND((1000/((1000/E1070) + (1000/f1070))),2)</f>
      </c>
      <c r="I1070" s="3">
        <f>=ROUND((1000/((1000/E1070) + (1000/G1070))),2)</f>
      </c>
      <c r="J1070" s="3">
        <f>=ROUND((1000/((1000/F1070) + (1000/G1070))),2)</f>
      </c>
    </row>
    <row r="1071">
      <c r="A1071" s="2" t="str">
        <v>01/05 ВС</v>
      </c>
      <c r="B1071" s="2" t="str">
        <v>19:30</v>
      </c>
      <c r="C1071" s="2" t="str">
        <v>ШВЕЦИЯ ШВЕЦИЯ</v>
      </c>
      <c r="D1071" s="2" t="str">
        <v>Хеккен-Варберг</v>
      </c>
      <c r="E1071" s="3">
        <f>1.65</f>
      </c>
      <c r="F1071" s="3">
        <f>3.60</f>
      </c>
      <c r="G1071" s="3">
        <f>6.00</f>
      </c>
      <c r="H1071" s="3">
        <f>=ROUND((1000/((1000/E1071) + (1000/f1071))),2)</f>
      </c>
      <c r="I1071" s="3">
        <f>=ROUND((1000/((1000/E1071) + (1000/G1071))),2)</f>
      </c>
      <c r="J1071" s="3">
        <f>=ROUND((1000/((1000/F1071) + (1000/G1071))),2)</f>
      </c>
    </row>
    <row r="1072">
      <c r="A1072" s="2" t="str">
        <v>01/05 ВС</v>
      </c>
      <c r="B1072" s="2" t="str">
        <v>15:00</v>
      </c>
      <c r="C1072" s="2" t="str">
        <v>ШВЕЦИЯ ШВЕЦИЯ</v>
      </c>
      <c r="D1072" s="2" t="str">
        <v>Вестерос-Эребру</v>
      </c>
      <c r="E1072" s="3">
        <f>2.70</f>
      </c>
      <c r="F1072" s="3">
        <f>3.20</f>
      </c>
      <c r="G1072" s="3">
        <f>2.70</f>
      </c>
      <c r="H1072" s="3">
        <f>=ROUND((1000/((1000/E1072) + (1000/f1072))),2)</f>
      </c>
      <c r="I1072" s="3">
        <f>=ROUND((1000/((1000/E1072) + (1000/G1072))),2)</f>
      </c>
      <c r="J1072" s="3">
        <f>=ROUND((1000/((1000/F1072) + (1000/G1072))),2)</f>
      </c>
    </row>
    <row r="1073">
      <c r="A1073" s="2" t="str">
        <v>01/05 ВС</v>
      </c>
      <c r="B1073" s="2" t="str">
        <v>17:00</v>
      </c>
      <c r="C1073" s="2" t="str">
        <v>ШВЕЦИЯ ШВЕЦИЯ</v>
      </c>
      <c r="D1073" s="2" t="str">
        <v>Эргрюте-Ютсиктенс</v>
      </c>
      <c r="E1073" s="3">
        <f>2.05</f>
      </c>
      <c r="F1073" s="3">
        <f>3.60</f>
      </c>
      <c r="G1073" s="3">
        <f>3.50</f>
      </c>
      <c r="H1073" s="3">
        <f>=ROUND((1000/((1000/E1073) + (1000/f1073))),2)</f>
      </c>
      <c r="I1073" s="3">
        <f>=ROUND((1000/((1000/E1073) + (1000/G1073))),2)</f>
      </c>
      <c r="J1073" s="3">
        <f>=ROUND((1000/((1000/F1073) + (1000/G1073))),2)</f>
      </c>
    </row>
    <row r="1074">
      <c r="A1074" s="2" t="str">
        <v>01/05 ВС</v>
      </c>
      <c r="B1074" s="2" t="str">
        <v>16:00</v>
      </c>
      <c r="C1074" s="2" t="str">
        <v>ШВЕЦИЯ ШВЕЦИЯ</v>
      </c>
      <c r="D1074" s="2" t="str">
        <v>Питео-Тебю</v>
      </c>
      <c r="E1074" s="3">
        <f>-</f>
      </c>
      <c r="F1074" s="3">
        <f>-</f>
      </c>
      <c r="G1074" s="3">
        <f>-</f>
      </c>
      <c r="H1074" s="3">
        <f>=ROUND((1000/((1000/E1074) + (1000/f1074))),2)</f>
      </c>
      <c r="I1074" s="3">
        <f>=ROUND((1000/((1000/E1074) + (1000/G1074))),2)</f>
      </c>
      <c r="J1074" s="3">
        <f>=ROUND((1000/((1000/F1074) + (1000/G1074))),2)</f>
      </c>
    </row>
    <row r="1075">
      <c r="A1075" s="2" t="str">
        <v>01/05 ВС</v>
      </c>
      <c r="B1075" s="2" t="str">
        <v>19:00</v>
      </c>
      <c r="C1075" s="2" t="str">
        <v>ШВЕЦИЯ ШВЕЦИЯ</v>
      </c>
      <c r="D1075" s="2" t="str">
        <v>Умео-Стокгольм Интер</v>
      </c>
      <c r="E1075" s="3">
        <f>-</f>
      </c>
      <c r="F1075" s="3">
        <f>-</f>
      </c>
      <c r="G1075" s="3">
        <f>-</f>
      </c>
      <c r="H1075" s="3">
        <f>=ROUND((1000/((1000/E1075) + (1000/f1075))),2)</f>
      </c>
      <c r="I1075" s="3">
        <f>=ROUND((1000/((1000/E1075) + (1000/G1075))),2)</f>
      </c>
      <c r="J1075" s="3">
        <f>=ROUND((1000/((1000/F1075) + (1000/G1075))),2)</f>
      </c>
    </row>
    <row r="1076" xml:space="preserve">
      <c r="A1076" s="2" t="str">
        <v>01/05 ВС</v>
      </c>
      <c r="B1076" s="2" t="str" xml:space="preserve">
        <v xml:space="preserve">18:00_x000d_
TKP</v>
      </c>
      <c r="C1076" s="2" t="str">
        <v>ШВЕЦИЯ ШВЕЦИЯ</v>
      </c>
      <c r="D1076" s="2" t="str">
        <v>Эстерсунд-Готтне</v>
      </c>
      <c r="E1076" s="3">
        <f>-</f>
      </c>
      <c r="F1076" s="3">
        <f>-</f>
      </c>
      <c r="G1076" s="3">
        <f>-</f>
      </c>
      <c r="H1076" s="3">
        <f>=ROUND((1000/((1000/E1076) + (1000/f1076))),2)</f>
      </c>
      <c r="I1076" s="3">
        <f>=ROUND((1000/((1000/E1076) + (1000/G1076))),2)</f>
      </c>
      <c r="J1076" s="3">
        <f>=ROUND((1000/((1000/F1076) + (1000/G1076))),2)</f>
      </c>
    </row>
    <row r="1077" xml:space="preserve">
      <c r="A1077" s="2" t="str">
        <v>01/05 ВС</v>
      </c>
      <c r="B1077" s="2" t="str" xml:space="preserve">
        <v xml:space="preserve">16:00_x000d_
TKP</v>
      </c>
      <c r="C1077" s="2" t="str">
        <v>ШВЕЦИЯ ШВЕЦИЯ</v>
      </c>
      <c r="D1077" s="2" t="str">
        <v>Скильебо-Forsbacka IK</v>
      </c>
      <c r="E1077" s="3">
        <f>-</f>
      </c>
      <c r="F1077" s="3">
        <f>-</f>
      </c>
      <c r="G1077" s="3">
        <f>-</f>
      </c>
      <c r="H1077" s="3">
        <f>=ROUND((1000/((1000/E1077) + (1000/f1077))),2)</f>
      </c>
      <c r="I1077" s="3">
        <f>=ROUND((1000/((1000/E1077) + (1000/G1077))),2)</f>
      </c>
      <c r="J1077" s="3">
        <f>=ROUND((1000/((1000/F1077) + (1000/G1077))),2)</f>
      </c>
    </row>
    <row r="1078" xml:space="preserve">
      <c r="A1078" s="2" t="str">
        <v>01/05 ВС</v>
      </c>
      <c r="B1078" s="2" t="str" xml:space="preserve">
        <v xml:space="preserve">18:00_x000d_
TKP</v>
      </c>
      <c r="C1078" s="2" t="str">
        <v>ШВЕЦИЯ ШВЕЦИЯ</v>
      </c>
      <c r="D1078" s="2" t="str">
        <v>Ragsveds-Остеракер</v>
      </c>
      <c r="E1078" s="3">
        <f>-</f>
      </c>
      <c r="F1078" s="3">
        <f>-</f>
      </c>
      <c r="G1078" s="3">
        <f>-</f>
      </c>
      <c r="H1078" s="3">
        <f>=ROUND((1000/((1000/E1078) + (1000/f1078))),2)</f>
      </c>
      <c r="I1078" s="3">
        <f>=ROUND((1000/((1000/E1078) + (1000/G1078))),2)</f>
      </c>
      <c r="J1078" s="3">
        <f>=ROUND((1000/((1000/F1078) + (1000/G1078))),2)</f>
      </c>
    </row>
    <row r="1079" xml:space="preserve">
      <c r="A1079" s="2" t="str">
        <v>01/05 ВС</v>
      </c>
      <c r="B1079" s="2" t="str" xml:space="preserve">
        <v xml:space="preserve">16:00_x000d_
TKP</v>
      </c>
      <c r="C1079" s="2" t="str">
        <v>ШВЕЦИЯ ШВЕЦИЯ</v>
      </c>
      <c r="D1079" s="2" t="str">
        <v>Торсланда-Хускварна</v>
      </c>
      <c r="E1079" s="3">
        <f>-</f>
      </c>
      <c r="F1079" s="3">
        <f>-</f>
      </c>
      <c r="G1079" s="3">
        <f>-</f>
      </c>
      <c r="H1079" s="3">
        <f>=ROUND((1000/((1000/E1079) + (1000/f1079))),2)</f>
      </c>
      <c r="I1079" s="3">
        <f>=ROUND((1000/((1000/E1079) + (1000/G1079))),2)</f>
      </c>
      <c r="J1079" s="3">
        <f>=ROUND((1000/((1000/F1079) + (1000/G1079))),2)</f>
      </c>
    </row>
    <row r="1080" xml:space="preserve">
      <c r="A1080" s="2" t="str">
        <v>01/05 ВС</v>
      </c>
      <c r="B1080" s="2" t="str" xml:space="preserve">
        <v xml:space="preserve">17:00_x000d_
TKP</v>
      </c>
      <c r="C1080" s="2" t="str">
        <v>ШВЕЦИЯ ШВЕЦИЯ</v>
      </c>
      <c r="D1080" s="2" t="str">
        <v>Берга-Росенгард</v>
      </c>
      <c r="E1080" s="3">
        <f>-</f>
      </c>
      <c r="F1080" s="3">
        <f>-</f>
      </c>
      <c r="G1080" s="3">
        <f>-</f>
      </c>
      <c r="H1080" s="3">
        <f>=ROUND((1000/((1000/E1080) + (1000/f1080))),2)</f>
      </c>
      <c r="I1080" s="3">
        <f>=ROUND((1000/((1000/E1080) + (1000/G1080))),2)</f>
      </c>
      <c r="J1080" s="3">
        <f>=ROUND((1000/((1000/F1080) + (1000/G1080))),2)</f>
      </c>
    </row>
    <row r="1081" xml:space="preserve">
      <c r="A1081" s="2" t="str">
        <v>01/05 ВС</v>
      </c>
      <c r="B1081" s="2" t="str" xml:space="preserve">
        <v xml:space="preserve">16:00_x000d_
TKP</v>
      </c>
      <c r="C1081" s="2" t="str">
        <v>ШВЕЦИЯ ШВЕЦИЯ</v>
      </c>
      <c r="D1081" s="2" t="str">
        <v>Ассириска-Трёса</v>
      </c>
      <c r="E1081" s="3">
        <f>-</f>
      </c>
      <c r="F1081" s="3">
        <f>-</f>
      </c>
      <c r="G1081" s="3">
        <f>-</f>
      </c>
      <c r="H1081" s="3">
        <f>=ROUND((1000/((1000/E1081) + (1000/f1081))),2)</f>
      </c>
      <c r="I1081" s="3">
        <f>=ROUND((1000/((1000/E1081) + (1000/G1081))),2)</f>
      </c>
      <c r="J1081" s="3">
        <f>=ROUND((1000/((1000/F1081) + (1000/G1081))),2)</f>
      </c>
    </row>
    <row r="1082" xml:space="preserve">
      <c r="A1082" s="2" t="str">
        <v>01/05 ВС</v>
      </c>
      <c r="B1082" s="2" t="str" xml:space="preserve">
        <v xml:space="preserve">17:00_x000d_
TKP</v>
      </c>
      <c r="C1082" s="2" t="str">
        <v>ШВЕЦИЯ ШВЕЦИЯ</v>
      </c>
      <c r="D1082" s="2" t="str">
        <v>Боткирка-Сюрианска</v>
      </c>
      <c r="E1082" s="3">
        <f>-</f>
      </c>
      <c r="F1082" s="3">
        <f>-</f>
      </c>
      <c r="G1082" s="3">
        <f>-</f>
      </c>
      <c r="H1082" s="3">
        <f>=ROUND((1000/((1000/E1082) + (1000/f1082))),2)</f>
      </c>
      <c r="I1082" s="3">
        <f>=ROUND((1000/((1000/E1082) + (1000/G1082))),2)</f>
      </c>
      <c r="J1082" s="3">
        <f>=ROUND((1000/((1000/F1082) + (1000/G1082))),2)</f>
      </c>
    </row>
    <row r="1083" xml:space="preserve">
      <c r="A1083" s="2" t="str">
        <v>01/05 ВС</v>
      </c>
      <c r="B1083" s="2" t="str" xml:space="preserve">
        <v xml:space="preserve">19:00_x000d_
TKP</v>
      </c>
      <c r="C1083" s="2" t="str">
        <v>ШВЕЦИЯ ШВЕЦИЯ</v>
      </c>
      <c r="D1083" s="2" t="str">
        <v>Юнайтед Нордик-Вермболс</v>
      </c>
      <c r="E1083" s="3">
        <f>-</f>
      </c>
      <c r="F1083" s="3">
        <f>-</f>
      </c>
      <c r="G1083" s="3">
        <f>-</f>
      </c>
      <c r="H1083" s="3">
        <f>=ROUND((1000/((1000/E1083) + (1000/f1083))),2)</f>
      </c>
      <c r="I1083" s="3">
        <f>=ROUND((1000/((1000/E1083) + (1000/G1083))),2)</f>
      </c>
      <c r="J1083" s="3">
        <f>=ROUND((1000/((1000/F1083) + (1000/G1083))),2)</f>
      </c>
    </row>
    <row r="1084" xml:space="preserve">
      <c r="A1084" s="2" t="str">
        <v>01/05 ВС</v>
      </c>
      <c r="B1084" s="2" t="str" xml:space="preserve">
        <v xml:space="preserve">16:00_x000d_
TKP</v>
      </c>
      <c r="C1084" s="2" t="str">
        <v>ШВЕЦИЯ ШВЕЦИЯ</v>
      </c>
      <c r="D1084" s="2" t="str">
        <v>Карслундс-Греббестад</v>
      </c>
      <c r="E1084" s="3">
        <f>-</f>
      </c>
      <c r="F1084" s="3">
        <f>-</f>
      </c>
      <c r="G1084" s="3">
        <f>-</f>
      </c>
      <c r="H1084" s="3">
        <f>=ROUND((1000/((1000/E1084) + (1000/f1084))),2)</f>
      </c>
      <c r="I1084" s="3">
        <f>=ROUND((1000/((1000/E1084) + (1000/G1084))),2)</f>
      </c>
      <c r="J1084" s="3">
        <f>=ROUND((1000/((1000/F1084) + (1000/G1084))),2)</f>
      </c>
    </row>
    <row r="1085" xml:space="preserve">
      <c r="A1085" s="2" t="str">
        <v>01/05 ВС</v>
      </c>
      <c r="B1085" s="2" t="str" xml:space="preserve">
        <v xml:space="preserve">16:00_x000d_
TKP</v>
      </c>
      <c r="C1085" s="2" t="str">
        <v>ШВЕЦИЯ ШВЕЦИЯ</v>
      </c>
      <c r="D1085" s="2" t="str">
        <v>Кумла-Гаутиод</v>
      </c>
      <c r="E1085" s="3">
        <f>-</f>
      </c>
      <c r="F1085" s="3">
        <f>-</f>
      </c>
      <c r="G1085" s="3">
        <f>-</f>
      </c>
      <c r="H1085" s="3">
        <f>=ROUND((1000/((1000/E1085) + (1000/f1085))),2)</f>
      </c>
      <c r="I1085" s="3">
        <f>=ROUND((1000/((1000/E1085) + (1000/G1085))),2)</f>
      </c>
      <c r="J1085" s="3">
        <f>=ROUND((1000/((1000/F1085) + (1000/G1085))),2)</f>
      </c>
    </row>
    <row r="1086" xml:space="preserve">
      <c r="A1086" s="2" t="str">
        <v>01/05 ВС</v>
      </c>
      <c r="B1086" s="2" t="str" xml:space="preserve">
        <v xml:space="preserve">16:00_x000d_
TKP</v>
      </c>
      <c r="C1086" s="2" t="str">
        <v>ШВЕЦИЯ ШВЕЦИЯ</v>
      </c>
      <c r="D1086" s="2" t="str">
        <v>Стенунгсунд-Нордвэрмланд</v>
      </c>
      <c r="E1086" s="3">
        <f>-</f>
      </c>
      <c r="F1086" s="3">
        <f>-</f>
      </c>
      <c r="G1086" s="3">
        <f>-</f>
      </c>
      <c r="H1086" s="3">
        <f>=ROUND((1000/((1000/E1086) + (1000/f1086))),2)</f>
      </c>
      <c r="I1086" s="3">
        <f>=ROUND((1000/((1000/E1086) + (1000/G1086))),2)</f>
      </c>
      <c r="J1086" s="3">
        <f>=ROUND((1000/((1000/F1086) + (1000/G1086))),2)</f>
      </c>
    </row>
    <row r="1087">
      <c r="A1087" s="2" t="str">
        <v>01/05 ВС</v>
      </c>
      <c r="B1087" s="2" t="str">
        <v>15:00</v>
      </c>
      <c r="C1087" s="2" t="str">
        <v>ШВЕЦИЯ ШВЕЦИЯ</v>
      </c>
      <c r="D1087" s="2" t="str">
        <v>Умео (Ж)-АИК (Ж)</v>
      </c>
      <c r="E1087" s="3">
        <f>-</f>
      </c>
      <c r="F1087" s="3">
        <f>-</f>
      </c>
      <c r="G1087" s="3">
        <f>-</f>
      </c>
      <c r="H1087" s="3">
        <f>=ROUND((1000/((1000/E1087) + (1000/f1087))),2)</f>
      </c>
      <c r="I1087" s="3">
        <f>=ROUND((1000/((1000/E1087) + (1000/G1087))),2)</f>
      </c>
      <c r="J1087" s="3">
        <f>=ROUND((1000/((1000/F1087) + (1000/G1087))),2)</f>
      </c>
    </row>
    <row r="1088">
      <c r="A1088" s="2" t="str">
        <v>01/05 ВС</v>
      </c>
      <c r="B1088" s="2" t="str">
        <v>17:00</v>
      </c>
      <c r="C1088" s="2" t="str">
        <v>ШВЕЦИЯ ШВЕЦИЯ</v>
      </c>
      <c r="D1088" s="2" t="str">
        <v>Броммапойкарна (Ж)-Питео (Ж)</v>
      </c>
      <c r="E1088" s="3">
        <f>-</f>
      </c>
      <c r="F1088" s="3">
        <f>-</f>
      </c>
      <c r="G1088" s="3">
        <f>-</f>
      </c>
      <c r="H1088" s="3">
        <f>=ROUND((1000/((1000/E1088) + (1000/f1088))),2)</f>
      </c>
      <c r="I1088" s="3">
        <f>=ROUND((1000/((1000/E1088) + (1000/G1088))),2)</f>
      </c>
      <c r="J1088" s="3">
        <f>=ROUND((1000/((1000/F1088) + (1000/G1088))),2)</f>
      </c>
    </row>
    <row r="1089">
      <c r="A1089" s="2" t="str">
        <v>01/05 ВС</v>
      </c>
      <c r="B1089" s="2" t="str">
        <v>17:00</v>
      </c>
      <c r="C1089" s="2" t="str">
        <v>ШВЕЦИЯ ШВЕЦИЯ</v>
      </c>
      <c r="D1089" s="2" t="str">
        <v>Виттсье (Ж)-Хеккен (Ж)</v>
      </c>
      <c r="E1089" s="3">
        <f>-</f>
      </c>
      <c r="F1089" s="3">
        <f>-</f>
      </c>
      <c r="G1089" s="3">
        <f>-</f>
      </c>
      <c r="H1089" s="3">
        <f>=ROUND((1000/((1000/E1089) + (1000/f1089))),2)</f>
      </c>
      <c r="I1089" s="3">
        <f>=ROUND((1000/((1000/E1089) + (1000/G1089))),2)</f>
      </c>
      <c r="J1089" s="3">
        <f>=ROUND((1000/((1000/F1089) + (1000/G1089))),2)</f>
      </c>
    </row>
    <row r="1090">
      <c r="A1090" s="2" t="str">
        <v>01/05 ВС</v>
      </c>
      <c r="B1090" s="2" t="str">
        <v>17:00</v>
      </c>
      <c r="C1090" s="2" t="str">
        <v>ШВЕЦИЯ ШВЕЦИЯ</v>
      </c>
      <c r="D1090" s="2" t="str">
        <v>Эскильстуна Юнайтед (Ж)-Кальмар (Ж)</v>
      </c>
      <c r="E1090" s="3">
        <f>-</f>
      </c>
      <c r="F1090" s="3">
        <f>-</f>
      </c>
      <c r="G1090" s="3">
        <f>-</f>
      </c>
      <c r="H1090" s="3">
        <f>=ROUND((1000/((1000/E1090) + (1000/f1090))),2)</f>
      </c>
      <c r="I1090" s="3">
        <f>=ROUND((1000/((1000/E1090) + (1000/G1090))),2)</f>
      </c>
      <c r="J1090" s="3">
        <f>=ROUND((1000/((1000/F1090) + (1000/G1090))),2)</f>
      </c>
    </row>
    <row r="1091">
      <c r="A1091" s="2" t="str">
        <v>01/05 ВС</v>
      </c>
      <c r="B1091" s="2" t="str">
        <v>17:00</v>
      </c>
      <c r="C1091" s="2" t="str">
        <v>ШВЕЦИЯ ШВЕЦИЯ</v>
      </c>
      <c r="D1091" s="2" t="str">
        <v>Юргорден (Ж)-Кристианстадс (Ж)</v>
      </c>
      <c r="E1091" s="3">
        <f>-</f>
      </c>
      <c r="F1091" s="3">
        <f>-</f>
      </c>
      <c r="G1091" s="3">
        <f>-</f>
      </c>
      <c r="H1091" s="3">
        <f>=ROUND((1000/((1000/E1091) + (1000/f1091))),2)</f>
      </c>
      <c r="I1091" s="3">
        <f>=ROUND((1000/((1000/E1091) + (1000/G1091))),2)</f>
      </c>
      <c r="J1091" s="3">
        <f>=ROUND((1000/((1000/F1091) + (1000/G1091))),2)</f>
      </c>
    </row>
    <row r="1092">
      <c r="A1092" s="2" t="str">
        <v>01/05 ВС</v>
      </c>
      <c r="B1092" s="2" t="str">
        <v>17:00</v>
      </c>
      <c r="C1092" s="2" t="str">
        <v>ШВЕЦИЯ ШВЕЦИЯ</v>
      </c>
      <c r="D1092" s="2" t="str">
        <v>Ravasens IK (Ж)-Джетикс (Ж)</v>
      </c>
      <c r="E1092" s="3">
        <f>-</f>
      </c>
      <c r="F1092" s="3">
        <f>-</f>
      </c>
      <c r="G1092" s="3">
        <f>-</f>
      </c>
      <c r="H1092" s="3">
        <f>=ROUND((1000/((1000/E1092) + (1000/f1092))),2)</f>
      </c>
      <c r="I1092" s="3">
        <f>=ROUND((1000/((1000/E1092) + (1000/G1092))),2)</f>
      </c>
      <c r="J1092" s="3">
        <f>=ROUND((1000/((1000/F1092) + (1000/G1092))),2)</f>
      </c>
    </row>
    <row r="1093">
      <c r="A1093" s="2" t="str">
        <v>01/05 ВС</v>
      </c>
      <c r="B1093" s="2" t="str">
        <v>18:00</v>
      </c>
      <c r="C1093" s="2" t="str">
        <v>ШВЕЦИЯ ШВЕЦИЯ</v>
      </c>
      <c r="D1093" s="2" t="str">
        <v>Бромолла (Ж)-Норрчепинг (Ж)</v>
      </c>
      <c r="E1093" s="3">
        <f>-</f>
      </c>
      <c r="F1093" s="3">
        <f>-</f>
      </c>
      <c r="G1093" s="3">
        <f>-</f>
      </c>
      <c r="H1093" s="3">
        <f>=ROUND((1000/((1000/E1093) + (1000/f1093))),2)</f>
      </c>
      <c r="I1093" s="3">
        <f>=ROUND((1000/((1000/E1093) + (1000/G1093))),2)</f>
      </c>
      <c r="J1093" s="3">
        <f>=ROUND((1000/((1000/F1093) + (1000/G1093))),2)</f>
      </c>
    </row>
    <row r="1094">
      <c r="A1094" s="2" t="str">
        <v>01/05 ВС</v>
      </c>
      <c r="B1094" s="2" t="str">
        <v>18:30</v>
      </c>
      <c r="C1094" s="2" t="str">
        <v>ШВЕЦИЯ ШВЕЦИЯ</v>
      </c>
      <c r="D1094" s="2" t="str">
        <v>Gamla Upsala (Ж)-Мальбакенс (Ж)</v>
      </c>
      <c r="E1094" s="3">
        <f>-</f>
      </c>
      <c r="F1094" s="3">
        <f>-</f>
      </c>
      <c r="G1094" s="3">
        <f>-</f>
      </c>
      <c r="H1094" s="3">
        <f>=ROUND((1000/((1000/E1094) + (1000/f1094))),2)</f>
      </c>
      <c r="I1094" s="3">
        <f>=ROUND((1000/((1000/E1094) + (1000/G1094))),2)</f>
      </c>
      <c r="J1094" s="3">
        <f>=ROUND((1000/((1000/F1094) + (1000/G1094))),2)</f>
      </c>
    </row>
    <row r="1095">
      <c r="A1095" s="2" t="str">
        <v>01/05 ВС</v>
      </c>
      <c r="B1095" s="2" t="str">
        <v>15:00</v>
      </c>
      <c r="C1095" s="2" t="str">
        <v>ШОТЛАНДИЯ ШОТЛАНДИЯ</v>
      </c>
      <c r="D1095" s="2" t="str">
        <v>Селтик-Рейнджерс</v>
      </c>
      <c r="E1095" s="3">
        <f>1.83</f>
      </c>
      <c r="F1095" s="3">
        <f>3.60</f>
      </c>
      <c r="G1095" s="3">
        <f>4.33</f>
      </c>
      <c r="H1095" s="3">
        <f>=ROUND((1000/((1000/E1095) + (1000/f1095))),2)</f>
      </c>
      <c r="I1095" s="3">
        <f>=ROUND((1000/((1000/E1095) + (1000/G1095))),2)</f>
      </c>
      <c r="J1095" s="3">
        <f>=ROUND((1000/((1000/F1095) + (1000/G1095))),2)</f>
      </c>
    </row>
    <row r="1096">
      <c r="A1096" s="2" t="str">
        <v>01/05 ВС</v>
      </c>
      <c r="B1096" s="2" t="str">
        <v>19:00</v>
      </c>
      <c r="C1096" s="2" t="str">
        <v>ШОТЛАНДИЯ ШОТЛАНДИЯ</v>
      </c>
      <c r="D1096" s="2" t="str">
        <v>Мотеруэлл (Ж)-Рейнджерс (Ж)</v>
      </c>
      <c r="E1096" s="3">
        <f>-</f>
      </c>
      <c r="F1096" s="3">
        <f>-</f>
      </c>
      <c r="G1096" s="3">
        <f>-</f>
      </c>
      <c r="H1096" s="3">
        <f>=ROUND((1000/((1000/E1096) + (1000/f1096))),2)</f>
      </c>
      <c r="I1096" s="3">
        <f>=ROUND((1000/((1000/E1096) + (1000/G1096))),2)</f>
      </c>
      <c r="J1096" s="3">
        <f>=ROUND((1000/((1000/F1096) + (1000/G1096))),2)</f>
      </c>
    </row>
    <row r="1097">
      <c r="A1097" s="2" t="str">
        <v>01/05 ВС</v>
      </c>
      <c r="B1097" s="2" t="str">
        <v>19:00</v>
      </c>
      <c r="C1097" s="2" t="str">
        <v>ШОТЛАНДИЯ ШОТЛАНДИЯ</v>
      </c>
      <c r="D1097" s="2" t="str">
        <v>Хиберниан (Ж)-Гамильтон (Ж)</v>
      </c>
      <c r="E1097" s="3">
        <f>-</f>
      </c>
      <c r="F1097" s="3">
        <f>-</f>
      </c>
      <c r="G1097" s="3">
        <f>-</f>
      </c>
      <c r="H1097" s="3">
        <f>=ROUND((1000/((1000/E1097) + (1000/f1097))),2)</f>
      </c>
      <c r="I1097" s="3">
        <f>=ROUND((1000/((1000/E1097) + (1000/G1097))),2)</f>
      </c>
      <c r="J1097" s="3">
        <f>=ROUND((1000/((1000/F1097) + (1000/G1097))),2)</f>
      </c>
    </row>
    <row r="1098">
      <c r="A1098" s="2" t="str">
        <v>01/05 ВС</v>
      </c>
      <c r="B1098" s="2" t="str">
        <v>15:00</v>
      </c>
      <c r="C1098" s="2" t="str">
        <v>ШОТЛАНДИЯ ШОТЛАНДИЯ</v>
      </c>
      <c r="D1098" s="2" t="str">
        <v>Хартс (Ж)-Селтик (Ж)</v>
      </c>
      <c r="E1098" s="3">
        <f>-</f>
      </c>
      <c r="F1098" s="3">
        <f>-</f>
      </c>
      <c r="G1098" s="3">
        <f>-</f>
      </c>
      <c r="H1098" s="3">
        <f>=ROUND((1000/((1000/E1098) + (1000/f1098))),2)</f>
      </c>
      <c r="I1098" s="3">
        <f>=ROUND((1000/((1000/E1098) + (1000/G1098))),2)</f>
      </c>
      <c r="J1098" s="3">
        <f>=ROUND((1000/((1000/F1098) + (1000/G1098))),2)</f>
      </c>
    </row>
    <row r="1099">
      <c r="A1099" s="2" t="str">
        <v>01/05 ВС</v>
      </c>
      <c r="B1099" s="2" t="str">
        <v>19:30</v>
      </c>
      <c r="C1099" s="2" t="str">
        <v>ШОТЛАНДИЯ ШОТЛАНДИЯ</v>
      </c>
      <c r="D1099" s="2" t="str">
        <v>Партик (Ж)-Глазго Сити (Ж)</v>
      </c>
      <c r="E1099" s="3">
        <f>-</f>
      </c>
      <c r="F1099" s="3">
        <f>-</f>
      </c>
      <c r="G1099" s="3">
        <f>-</f>
      </c>
      <c r="H1099" s="3">
        <f>=ROUND((1000/((1000/E1099) + (1000/f1099))),2)</f>
      </c>
      <c r="I1099" s="3">
        <f>=ROUND((1000/((1000/E1099) + (1000/G1099))),2)</f>
      </c>
      <c r="J1099" s="3">
        <f>=ROUND((1000/((1000/F1099) + (1000/G1099))),2)</f>
      </c>
    </row>
    <row r="1100">
      <c r="A1100" s="2" t="str">
        <v>01/05 ВС</v>
      </c>
      <c r="B1100" s="2" t="str">
        <v>00:00</v>
      </c>
      <c r="C1100" s="2" t="str">
        <v>ЭКВАДОР ЭКВАДОР</v>
      </c>
      <c r="D1100" s="2" t="str">
        <v>Мушук Руна-Гуаякиль Сити</v>
      </c>
      <c r="E1100" s="3">
        <f>1.85</f>
      </c>
      <c r="F1100" s="3">
        <f>3.40</f>
      </c>
      <c r="G1100" s="3">
        <f>4.20</f>
      </c>
      <c r="H1100" s="3">
        <f>=ROUND((1000/((1000/E1100) + (1000/f1100))),2)</f>
      </c>
      <c r="I1100" s="3">
        <f>=ROUND((1000/((1000/E1100) + (1000/G1100))),2)</f>
      </c>
      <c r="J1100" s="3">
        <f>=ROUND((1000/((1000/F1100) + (1000/G1100))),2)</f>
      </c>
    </row>
    <row r="1101">
      <c r="A1101" s="2" t="str">
        <v>01/05 ВС</v>
      </c>
      <c r="B1101" s="2" t="str">
        <v>02:30</v>
      </c>
      <c r="C1101" s="2" t="str">
        <v>ЭКВАДОР ЭКВАДОР</v>
      </c>
      <c r="D1101" s="2" t="str">
        <v>9 Октября-Дельфин</v>
      </c>
      <c r="E1101" s="3">
        <f>2.50</f>
      </c>
      <c r="F1101" s="3">
        <f>3.40</f>
      </c>
      <c r="G1101" s="3">
        <f>2.87</f>
      </c>
      <c r="H1101" s="3">
        <f>=ROUND((1000/((1000/E1101) + (1000/f1101))),2)</f>
      </c>
      <c r="I1101" s="3">
        <f>=ROUND((1000/((1000/E1101) + (1000/G1101))),2)</f>
      </c>
      <c r="J1101" s="3">
        <f>=ROUND((1000/((1000/F1101) + (1000/G1101))),2)</f>
      </c>
    </row>
    <row r="1102">
      <c r="A1102" s="2" t="str">
        <v>01/05 ВС</v>
      </c>
      <c r="B1102" s="2" t="str">
        <v>05:00</v>
      </c>
      <c r="C1102" s="2" t="str">
        <v>ЭКВАДОР ЭКВАДОР</v>
      </c>
      <c r="D1102" s="2" t="str">
        <v>Текнико Ю.-Аукас</v>
      </c>
      <c r="E1102" s="3">
        <f>2.90</f>
      </c>
      <c r="F1102" s="3">
        <f>3.00</f>
      </c>
      <c r="G1102" s="3">
        <f>2.70</f>
      </c>
      <c r="H1102" s="3">
        <f>=ROUND((1000/((1000/E1102) + (1000/f1102))),2)</f>
      </c>
      <c r="I1102" s="3">
        <f>=ROUND((1000/((1000/E1102) + (1000/G1102))),2)</f>
      </c>
      <c r="J1102" s="3">
        <f>=ROUND((1000/((1000/F1102) + (1000/G1102))),2)</f>
      </c>
    </row>
    <row r="1103">
      <c r="A1103" s="2" t="str">
        <v>01/05 ВС</v>
      </c>
      <c r="B1103" s="2" t="str">
        <v>23:00</v>
      </c>
      <c r="C1103" s="2" t="str">
        <v>ЭКВАДОР ЭКВАДОР</v>
      </c>
      <c r="D1103" s="2" t="str">
        <v>Оренсе-Универсидад Католика Кито</v>
      </c>
      <c r="E1103" s="3">
        <f>2.80</f>
      </c>
      <c r="F1103" s="3">
        <f>3.20</f>
      </c>
      <c r="G1103" s="3">
        <f>2.70</f>
      </c>
      <c r="H1103" s="3">
        <f>=ROUND((1000/((1000/E1103) + (1000/f1103))),2)</f>
      </c>
      <c r="I1103" s="3">
        <f>=ROUND((1000/((1000/E1103) + (1000/G1103))),2)</f>
      </c>
      <c r="J1103" s="3">
        <f>=ROUND((1000/((1000/F1103) + (1000/G1103))),2)</f>
      </c>
    </row>
    <row r="1104">
      <c r="A1104" s="2" t="str">
        <v>01/05 ВС</v>
      </c>
      <c r="B1104" s="2" t="str">
        <v>15:30</v>
      </c>
      <c r="C1104" s="2" t="str">
        <v>ЭСТОНИЯ ЭСТОНИЯ</v>
      </c>
      <c r="D1104" s="2" t="str">
        <v>Пайде-Таллинна Калев</v>
      </c>
      <c r="E1104" s="3">
        <f>-</f>
      </c>
      <c r="F1104" s="3">
        <f>-</f>
      </c>
      <c r="G1104" s="3">
        <f>-</f>
      </c>
      <c r="H1104" s="3">
        <f>=ROUND((1000/((1000/E1104) + (1000/f1104))),2)</f>
      </c>
      <c r="I1104" s="3">
        <f>=ROUND((1000/((1000/E1104) + (1000/G1104))),2)</f>
      </c>
      <c r="J1104" s="3">
        <f>=ROUND((1000/((1000/F1104) + (1000/G1104))),2)</f>
      </c>
    </row>
    <row r="1105">
      <c r="A1105" s="2" t="str">
        <v>01/05 ВС</v>
      </c>
      <c r="B1105" s="2" t="str">
        <v>18:15</v>
      </c>
      <c r="C1105" s="2" t="str">
        <v>ЭСТОНИЯ ЭСТОНИЯ</v>
      </c>
      <c r="D1105" s="2" t="str">
        <v>Флора-Таммека</v>
      </c>
      <c r="E1105" s="3">
        <f>-</f>
      </c>
      <c r="F1105" s="3">
        <f>-</f>
      </c>
      <c r="G1105" s="3">
        <f>-</f>
      </c>
      <c r="H1105" s="3">
        <f>=ROUND((1000/((1000/E1105) + (1000/f1105))),2)</f>
      </c>
      <c r="I1105" s="3">
        <f>=ROUND((1000/((1000/E1105) + (1000/G1105))),2)</f>
      </c>
      <c r="J1105" s="3">
        <f>=ROUND((1000/((1000/F1105) + (1000/G1105))),2)</f>
      </c>
    </row>
    <row r="1106">
      <c r="A1106" s="2" t="str">
        <v>01/05 ВС</v>
      </c>
      <c r="B1106" s="2" t="str">
        <v>13:30</v>
      </c>
      <c r="C1106" s="2" t="str">
        <v>ЭСТОНИЯ ЭСТОНИЯ</v>
      </c>
      <c r="D1106" s="2" t="str">
        <v>Левадия U21-Пярну</v>
      </c>
      <c r="E1106" s="3">
        <f>-</f>
      </c>
      <c r="F1106" s="3">
        <f>-</f>
      </c>
      <c r="G1106" s="3">
        <f>-</f>
      </c>
      <c r="H1106" s="3">
        <f>=ROUND((1000/((1000/E1106) + (1000/f1106))),2)</f>
      </c>
      <c r="I1106" s="3">
        <f>=ROUND((1000/((1000/E1106) + (1000/G1106))),2)</f>
      </c>
      <c r="J1106" s="3">
        <f>=ROUND((1000/((1000/F1106) + (1000/G1106))),2)</f>
      </c>
    </row>
    <row r="1107">
      <c r="A1107" s="2" t="str">
        <v>01/05 ВС</v>
      </c>
      <c r="B1107" s="2" t="str">
        <v>13:30</v>
      </c>
      <c r="C1107" s="2" t="str">
        <v>ЭСТОНИЯ ЭСТОНИЯ</v>
      </c>
      <c r="D1107" s="2" t="str">
        <v>Нымме Юнайтед-Вильянди</v>
      </c>
      <c r="E1107" s="3">
        <f>-</f>
      </c>
      <c r="F1107" s="3">
        <f>-</f>
      </c>
      <c r="G1107" s="3">
        <f>-</f>
      </c>
      <c r="H1107" s="3">
        <f>=ROUND((1000/((1000/E1107) + (1000/f1107))),2)</f>
      </c>
      <c r="I1107" s="3">
        <f>=ROUND((1000/((1000/E1107) + (1000/G1107))),2)</f>
      </c>
      <c r="J1107" s="3">
        <f>=ROUND((1000/((1000/F1107) + (1000/G1107))),2)</f>
      </c>
    </row>
    <row r="1108">
      <c r="A1108" s="2" t="str">
        <v>01/05 ВС</v>
      </c>
      <c r="B1108" s="2" t="str">
        <v>13:00</v>
      </c>
      <c r="C1108" s="2" t="str">
        <v>ЭСТОНИЯ ЭСТОНИЯ</v>
      </c>
      <c r="D1108" s="2" t="str">
        <v>Саку (Ж)-Флора (Ж)</v>
      </c>
      <c r="E1108" s="3">
        <f>-</f>
      </c>
      <c r="F1108" s="3">
        <f>-</f>
      </c>
      <c r="G1108" s="3">
        <f>-</f>
      </c>
      <c r="H1108" s="3">
        <f>=ROUND((1000/((1000/E1108) + (1000/f1108))),2)</f>
      </c>
      <c r="I1108" s="3">
        <f>=ROUND((1000/((1000/E1108) + (1000/G1108))),2)</f>
      </c>
      <c r="J1108" s="3">
        <f>=ROUND((1000/((1000/F1108) + (1000/G1108))),2)</f>
      </c>
    </row>
    <row r="1109">
      <c r="A1109" s="2" t="str">
        <v>01/05 ВС</v>
      </c>
      <c r="B1109" s="2" t="str">
        <v>16:00</v>
      </c>
      <c r="C1109" s="2" t="str">
        <v>ЭФИОПИЯ ЭФИОПИЯ</v>
      </c>
      <c r="D1109" s="2" t="str">
        <v>Арба Минч Кенема-Уолките Кенема</v>
      </c>
      <c r="E1109" s="3">
        <f>-</f>
      </c>
      <c r="F1109" s="3">
        <f>-</f>
      </c>
      <c r="G1109" s="3">
        <f>-</f>
      </c>
      <c r="H1109" s="3">
        <f>=ROUND((1000/((1000/E1109) + (1000/f1109))),2)</f>
      </c>
      <c r="I1109" s="3">
        <f>=ROUND((1000/((1000/E1109) + (1000/G1109))),2)</f>
      </c>
      <c r="J1109" s="3">
        <f>=ROUND((1000/((1000/F1109) + (1000/G1109))),2)</f>
      </c>
    </row>
    <row r="1110">
      <c r="A1110" s="2" t="str">
        <v>01/05 ВС</v>
      </c>
      <c r="B1110" s="2" t="str">
        <v>19:00</v>
      </c>
      <c r="C1110" s="2" t="str">
        <v>ЭФИОПИЯ ЭФИОПИЯ</v>
      </c>
      <c r="D1110" s="2" t="str">
        <v>Дире Дава-Себета Сити</v>
      </c>
      <c r="E1110" s="3">
        <f>-</f>
      </c>
      <c r="F1110" s="3">
        <f>-</f>
      </c>
      <c r="G1110" s="3">
        <f>-</f>
      </c>
      <c r="H1110" s="3">
        <f>=ROUND((1000/((1000/E1110) + (1000/f1110))),2)</f>
      </c>
      <c r="I1110" s="3">
        <f>=ROUND((1000/((1000/E1110) + (1000/G1110))),2)</f>
      </c>
      <c r="J1110" s="3">
        <f>=ROUND((1000/((1000/F1110) + (1000/G1110))),2)</f>
      </c>
    </row>
    <row r="1111">
      <c r="A1111" s="2" t="str">
        <v>01/05 ВС</v>
      </c>
      <c r="B1111" s="2" t="str">
        <v>17:00</v>
      </c>
      <c r="C1111" s="2" t="str">
        <v>ЮЖНАЯ АФРИКА ЮЖНАЯ АФРИКА</v>
      </c>
      <c r="D1111" s="2" t="str">
        <v>Блэк Леопардс-Кейптаун Сперс</v>
      </c>
      <c r="E1111" s="3">
        <f>-</f>
      </c>
      <c r="F1111" s="3">
        <f>-</f>
      </c>
      <c r="G1111" s="3">
        <f>-</f>
      </c>
      <c r="H1111" s="3">
        <f>=ROUND((1000/((1000/E1111) + (1000/f1111))),2)</f>
      </c>
      <c r="I1111" s="3">
        <f>=ROUND((1000/((1000/E1111) + (1000/G1111))),2)</f>
      </c>
      <c r="J1111" s="3">
        <f>=ROUND((1000/((1000/F1111) + (1000/G1111))),2)</f>
      </c>
    </row>
    <row r="1112">
      <c r="A1112" s="2" t="str">
        <v>01/05 ВС</v>
      </c>
      <c r="B1112" s="2" t="str">
        <v>17:00</v>
      </c>
      <c r="C1112" s="2" t="str">
        <v>ЮЖНАЯ АФРИКА ЮЖНАЯ АФРИКА</v>
      </c>
      <c r="D1112" s="2" t="str">
        <v>Хангри Лайонс-ДжДР Старз</v>
      </c>
      <c r="E1112" s="3">
        <f>-</f>
      </c>
      <c r="F1112" s="3">
        <f>-</f>
      </c>
      <c r="G1112" s="3">
        <f>-</f>
      </c>
      <c r="H1112" s="3">
        <f>=ROUND((1000/((1000/E1112) + (1000/f1112))),2)</f>
      </c>
      <c r="I1112" s="3">
        <f>=ROUND((1000/((1000/E1112) + (1000/G1112))),2)</f>
      </c>
      <c r="J1112" s="3">
        <f>=ROUND((1000/((1000/F1112) + (1000/G1112))),2)</f>
      </c>
    </row>
    <row r="1113">
      <c r="A1113" s="2" t="str">
        <v>01/05 ВС</v>
      </c>
      <c r="B1113" s="2" t="str">
        <v>12:00</v>
      </c>
      <c r="C1113" s="2" t="str">
        <v>ЮЖНАЯ АФРИКА ЮЖНАЯ АФРИКА</v>
      </c>
      <c r="D1113" s="2" t="str">
        <v>Роял АМ U23-Марумо Галлантс U23</v>
      </c>
      <c r="E1113" s="3">
        <f>-</f>
      </c>
      <c r="F1113" s="3">
        <f>-</f>
      </c>
      <c r="G1113" s="3">
        <f>-</f>
      </c>
      <c r="H1113" s="3">
        <f>=ROUND((1000/((1000/E1113) + (1000/f1113))),2)</f>
      </c>
      <c r="I1113" s="3">
        <f>=ROUND((1000/((1000/E1113) + (1000/G1113))),2)</f>
      </c>
      <c r="J1113" s="3">
        <f>=ROUND((1000/((1000/F1113) + (1000/G1113))),2)</f>
      </c>
    </row>
    <row r="1114">
      <c r="A1114" s="2" t="str">
        <v>01/05 ВС</v>
      </c>
      <c r="B1114" s="2" t="str">
        <v>12:00</v>
      </c>
      <c r="C1114" s="2" t="str">
        <v>ЮЖНАЯ АФРИКА ЮЖНАЯ АФРИКА</v>
      </c>
      <c r="D1114" s="2" t="str">
        <v>Сваллоус U23-Кейптаун Сити U23</v>
      </c>
      <c r="E1114" s="3">
        <f>-</f>
      </c>
      <c r="F1114" s="3">
        <f>-</f>
      </c>
      <c r="G1114" s="3">
        <f>-</f>
      </c>
      <c r="H1114" s="3">
        <f>=ROUND((1000/((1000/E1114) + (1000/f1114))),2)</f>
      </c>
      <c r="I1114" s="3">
        <f>=ROUND((1000/((1000/E1114) + (1000/G1114))),2)</f>
      </c>
      <c r="J1114" s="3">
        <f>=ROUND((1000/((1000/F1114) + (1000/G1114))),2)</f>
      </c>
    </row>
    <row r="1115">
      <c r="A1115" s="2" t="str">
        <v>01/05 ВС</v>
      </c>
      <c r="B1115" s="2" t="str">
        <v>14:00</v>
      </c>
      <c r="C1115" s="2" t="str">
        <v>ЮЖНАЯ АФРИКА ЮЖНАЯ АФРИКА</v>
      </c>
      <c r="D1115" s="2" t="str">
        <v>Голден Арроус U23-Сехухуне U23</v>
      </c>
      <c r="E1115" s="3">
        <f>-</f>
      </c>
      <c r="F1115" s="3">
        <f>-</f>
      </c>
      <c r="G1115" s="3">
        <f>-</f>
      </c>
      <c r="H1115" s="3">
        <f>=ROUND((1000/((1000/E1115) + (1000/f1115))),2)</f>
      </c>
      <c r="I1115" s="3">
        <f>=ROUND((1000/((1000/E1115) + (1000/G1115))),2)</f>
      </c>
      <c r="J1115" s="3">
        <f>=ROUND((1000/((1000/F1115) + (1000/G1115))),2)</f>
      </c>
    </row>
    <row r="1116">
      <c r="A1116" s="2" t="str">
        <v>01/05 ВС</v>
      </c>
      <c r="B1116" s="2" t="str">
        <v>09:00</v>
      </c>
      <c r="C1116" s="2" t="str">
        <v>ЮЖНАЯ КОРЕЯ ЮЖНАЯ КОРЕЯ</v>
      </c>
      <c r="D1116" s="2" t="str">
        <v>Сихуэнь Ситизен-Пхаджу Ситизен</v>
      </c>
      <c r="E1116" s="3">
        <f>-</f>
      </c>
      <c r="F1116" s="3">
        <f>-</f>
      </c>
      <c r="G1116" s="3">
        <f>-</f>
      </c>
      <c r="H1116" s="3">
        <f>=ROUND((1000/((1000/E1116) + (1000/f1116))),2)</f>
      </c>
      <c r="I1116" s="3">
        <f>=ROUND((1000/((1000/E1116) + (1000/G1116))),2)</f>
      </c>
      <c r="J1116" s="3">
        <f>=ROUND((1000/((1000/F1116) + (1000/G1116))),2)</f>
      </c>
    </row>
    <row r="1117">
      <c r="A1117" s="2" t="str">
        <v>01/05 ВС</v>
      </c>
      <c r="B1117" s="2" t="str">
        <v>10:00</v>
      </c>
      <c r="C1117" s="2" t="str">
        <v>ЮЖНАЯ КОРЕЯ ЮЖНАЯ КОРЕЯ</v>
      </c>
      <c r="D1117" s="2" t="str">
        <v>Бусан Киотонг-Чхонан Сити</v>
      </c>
      <c r="E1117" s="3">
        <f>-</f>
      </c>
      <c r="F1117" s="3">
        <f>-</f>
      </c>
      <c r="G1117" s="3">
        <f>-</f>
      </c>
      <c r="H1117" s="3">
        <f>=ROUND((1000/((1000/E1117) + (1000/f1117))),2)</f>
      </c>
      <c r="I1117" s="3">
        <f>=ROUND((1000/((1000/E1117) + (1000/G1117))),2)</f>
      </c>
      <c r="J1117" s="3">
        <f>=ROUND((1000/((1000/F1117) + (1000/G1117))),2)</f>
      </c>
    </row>
    <row r="1118">
      <c r="A1118" s="2" t="str">
        <v>01/05 ВС</v>
      </c>
      <c r="B1118" s="2" t="str">
        <v>10:00</v>
      </c>
      <c r="C1118" s="2" t="str">
        <v>ЮЖНАЯ КОРЕЯ ЮЖНАЯ КОРЕЯ</v>
      </c>
      <c r="D1118" s="2" t="str">
        <v>Кёнджу-Каннын</v>
      </c>
      <c r="E1118" s="3">
        <f>-</f>
      </c>
      <c r="F1118" s="3">
        <f>-</f>
      </c>
      <c r="G1118" s="3">
        <f>-</f>
      </c>
      <c r="H1118" s="3">
        <f>=ROUND((1000/((1000/E1118) + (1000/f1118))),2)</f>
      </c>
      <c r="I1118" s="3">
        <f>=ROUND((1000/((1000/E1118) + (1000/G1118))),2)</f>
      </c>
      <c r="J1118" s="3">
        <f>=ROUND((1000/((1000/F1118) + (1000/G1118))),2)</f>
      </c>
    </row>
    <row r="1119">
      <c r="A1119" s="2" t="str">
        <v>01/05 ВС</v>
      </c>
      <c r="B1119" s="2" t="str">
        <v>10:00</v>
      </c>
      <c r="C1119" s="2" t="str">
        <v>ЮЖНАЯ КОРЕЯ ЮЖНАЯ КОРЕЯ</v>
      </c>
      <c r="D1119" s="2" t="str">
        <v>Танджин Ситизен-Чханвон</v>
      </c>
      <c r="E1119" s="3">
        <f>-</f>
      </c>
      <c r="F1119" s="3">
        <f>-</f>
      </c>
      <c r="G1119" s="3">
        <f>-</f>
      </c>
      <c r="H1119" s="3">
        <f>=ROUND((1000/((1000/E1119) + (1000/f1119))),2)</f>
      </c>
      <c r="I1119" s="3">
        <f>=ROUND((1000/((1000/E1119) + (1000/G1119))),2)</f>
      </c>
      <c r="J1119" s="3">
        <f>=ROUND((1000/((1000/F1119) + (1000/G1119))),2)</f>
      </c>
    </row>
    <row r="1120">
      <c r="A1120" s="2" t="str">
        <v>01/05 ВС</v>
      </c>
      <c r="B1120" s="2" t="str">
        <v>10:00</v>
      </c>
      <c r="C1120" s="2" t="str">
        <v>ЮЖНАЯ КОРЕЯ ЮЖНАЯ КОРЕЯ</v>
      </c>
      <c r="D1120" s="2" t="str">
        <v>Тэджон Корэйл-Мокпо</v>
      </c>
      <c r="E1120" s="3">
        <f>-</f>
      </c>
      <c r="F1120" s="3">
        <f>-</f>
      </c>
      <c r="G1120" s="3">
        <f>-</f>
      </c>
      <c r="H1120" s="3">
        <f>=ROUND((1000/((1000/E1120) + (1000/f1120))),2)</f>
      </c>
      <c r="I1120" s="3">
        <f>=ROUND((1000/((1000/E1120) + (1000/G1120))),2)</f>
      </c>
      <c r="J1120" s="3">
        <f>=ROUND((1000/((1000/F1120) + (1000/G1120))),2)</f>
      </c>
    </row>
    <row r="1121">
      <c r="A1121" s="2" t="str">
        <v>01/05 ВС</v>
      </c>
      <c r="B1121" s="2" t="str">
        <v>10:00</v>
      </c>
      <c r="C1121" s="2" t="str">
        <v>ЮЖНАЯ КОРЕЯ ЮЖНАЯ КОРЕЯ</v>
      </c>
      <c r="D1121" s="2" t="str">
        <v>Хвасон-Ульсан Ситизен</v>
      </c>
      <c r="E1121" s="3">
        <f>-</f>
      </c>
      <c r="F1121" s="3">
        <f>-</f>
      </c>
      <c r="G1121" s="3">
        <f>-</f>
      </c>
      <c r="H1121" s="3">
        <f>=ROUND((1000/((1000/E1121) + (1000/f1121))),2)</f>
      </c>
      <c r="I1121" s="3">
        <f>=ROUND((1000/((1000/E1121) + (1000/G1121))),2)</f>
      </c>
      <c r="J1121" s="3">
        <f>=ROUND((1000/((1000/F1121) + (1000/G1121))),2)</f>
      </c>
    </row>
    <row r="1122">
      <c r="A1122" s="2" t="str">
        <v>01/05 ВС</v>
      </c>
      <c r="B1122" s="2" t="str">
        <v>21:45</v>
      </c>
      <c r="C1122" s="2" t="str">
        <v>ЯМАЙКА ЯМАЙКА</v>
      </c>
      <c r="D1122" s="2" t="str">
        <v>Тиволи-Монтего Бэй</v>
      </c>
      <c r="E1122" s="3">
        <f>-</f>
      </c>
      <c r="F1122" s="3">
        <f>-</f>
      </c>
      <c r="G1122" s="3">
        <f>-</f>
      </c>
      <c r="H1122" s="3">
        <f>=ROUND((1000/((1000/E1122) + (1000/f1122))),2)</f>
      </c>
      <c r="I1122" s="3">
        <f>=ROUND((1000/((1000/E1122) + (1000/G1122))),2)</f>
      </c>
      <c r="J1122" s="3">
        <f>=ROUND((1000/((1000/F1122) + (1000/G1122))),2)</f>
      </c>
    </row>
    <row r="1123">
      <c r="A1123" s="2" t="str">
        <v>01/05 ВС</v>
      </c>
      <c r="B1123" s="2" t="str">
        <v>08:00</v>
      </c>
      <c r="C1123" s="2" t="str">
        <v>ЯПОНИЯ ЯПОНИЯ</v>
      </c>
      <c r="D1123" s="2" t="str">
        <v>Грулла Мориока-Кумамото</v>
      </c>
      <c r="E1123" s="3">
        <f>3.10</f>
      </c>
      <c r="F1123" s="3">
        <f>3.00</f>
      </c>
      <c r="G1123" s="3">
        <f>2.45</f>
      </c>
      <c r="H1123" s="3">
        <f>=ROUND((1000/((1000/E1123) + (1000/f1123))),2)</f>
      </c>
      <c r="I1123" s="3">
        <f>=ROUND((1000/((1000/E1123) + (1000/G1123))),2)</f>
      </c>
      <c r="J1123" s="3">
        <f>=ROUND((1000/((1000/F1123) + (1000/G1123))),2)</f>
      </c>
    </row>
    <row r="1124">
      <c r="A1124" s="2" t="str">
        <v>01/05 ВС</v>
      </c>
      <c r="B1124" s="2" t="str">
        <v>08:00</v>
      </c>
      <c r="C1124" s="2" t="str">
        <v>ЯПОНИЯ ЯПОНИЯ</v>
      </c>
      <c r="D1124" s="2" t="str">
        <v>Окаяма-Токио Верди</v>
      </c>
      <c r="E1124" s="3">
        <f>2.30</f>
      </c>
      <c r="F1124" s="3">
        <f>3.10</f>
      </c>
      <c r="G1124" s="3">
        <f>3.40</f>
      </c>
      <c r="H1124" s="3">
        <f>=ROUND((1000/((1000/E1124) + (1000/f1124))),2)</f>
      </c>
      <c r="I1124" s="3">
        <f>=ROUND((1000/((1000/E1124) + (1000/G1124))),2)</f>
      </c>
      <c r="J1124" s="3">
        <f>=ROUND((1000/((1000/F1124) + (1000/G1124))),2)</f>
      </c>
    </row>
    <row r="1125">
      <c r="A1125" s="2" t="str">
        <v>01/05 ВС</v>
      </c>
      <c r="B1125" s="2" t="str">
        <v>09:00</v>
      </c>
      <c r="C1125" s="2" t="str">
        <v>ЯПОНИЯ ЯПОНИЯ</v>
      </c>
      <c r="D1125" s="2" t="str">
        <v>Каназава-Омия</v>
      </c>
      <c r="E1125" s="3">
        <f>1.85</f>
      </c>
      <c r="F1125" s="3">
        <f>3.40</f>
      </c>
      <c r="G1125" s="3">
        <f>4.50</f>
      </c>
      <c r="H1125" s="3">
        <f>=ROUND((1000/((1000/E1125) + (1000/f1125))),2)</f>
      </c>
      <c r="I1125" s="3">
        <f>=ROUND((1000/((1000/E1125) + (1000/G1125))),2)</f>
      </c>
      <c r="J1125" s="3">
        <f>=ROUND((1000/((1000/F1125) + (1000/G1125))),2)</f>
      </c>
    </row>
    <row r="1126">
      <c r="A1126" s="2" t="str">
        <v>01/05 ВС</v>
      </c>
      <c r="B1126" s="2" t="str">
        <v>09:00</v>
      </c>
      <c r="C1126" s="2" t="str">
        <v>ЯПОНИЯ ЯПОНИЯ</v>
      </c>
      <c r="D1126" s="2" t="str">
        <v>Кусацу-Йокогама ФК</v>
      </c>
      <c r="E1126" s="3">
        <f>4.75</f>
      </c>
      <c r="F1126" s="3">
        <f>3.10</f>
      </c>
      <c r="G1126" s="3">
        <f>1.90</f>
      </c>
      <c r="H1126" s="3">
        <f>=ROUND((1000/((1000/E1126) + (1000/f1126))),2)</f>
      </c>
      <c r="I1126" s="3">
        <f>=ROUND((1000/((1000/E1126) + (1000/G1126))),2)</f>
      </c>
      <c r="J1126" s="3">
        <f>=ROUND((1000/((1000/F1126) + (1000/G1126))),2)</f>
      </c>
    </row>
    <row r="1127">
      <c r="A1127" s="2" t="str">
        <v>01/05 ВС</v>
      </c>
      <c r="B1127" s="2" t="str">
        <v>09:00</v>
      </c>
      <c r="C1127" s="2" t="str">
        <v>ЯПОНИЯ ЯПОНИЯ</v>
      </c>
      <c r="D1127" s="2" t="str">
        <v>Матида Зельвия-Токусима</v>
      </c>
      <c r="E1127" s="3">
        <f>2.30</f>
      </c>
      <c r="F1127" s="3">
        <f>2.80</f>
      </c>
      <c r="G1127" s="3">
        <f>3.75</f>
      </c>
      <c r="H1127" s="3">
        <f>=ROUND((1000/((1000/E1127) + (1000/f1127))),2)</f>
      </c>
      <c r="I1127" s="3">
        <f>=ROUND((1000/((1000/E1127) + (1000/G1127))),2)</f>
      </c>
      <c r="J1127" s="3">
        <f>=ROUND((1000/((1000/F1127) + (1000/G1127))),2)</f>
      </c>
    </row>
    <row r="1128">
      <c r="A1128" s="2" t="str">
        <v>01/05 ВС</v>
      </c>
      <c r="B1128" s="2" t="str">
        <v>09:00</v>
      </c>
      <c r="C1128" s="2" t="str">
        <v>ЯПОНИЯ ЯПОНИЯ</v>
      </c>
      <c r="D1128" s="2" t="str">
        <v>Ямагата-В-Варен Нагасаки</v>
      </c>
      <c r="E1128" s="3">
        <f>2.50</f>
      </c>
      <c r="F1128" s="3">
        <f>3.10</f>
      </c>
      <c r="G1128" s="3">
        <f>3.00</f>
      </c>
      <c r="H1128" s="3">
        <f>=ROUND((1000/((1000/E1128) + (1000/f1128))),2)</f>
      </c>
      <c r="I1128" s="3">
        <f>=ROUND((1000/((1000/E1128) + (1000/G1128))),2)</f>
      </c>
      <c r="J1128" s="3">
        <f>=ROUND((1000/((1000/F1128) + (1000/G1128))),2)</f>
      </c>
    </row>
    <row r="1129">
      <c r="A1129" s="2" t="str">
        <v>01/05 ВС</v>
      </c>
      <c r="B1129" s="2" t="str">
        <v>11:00</v>
      </c>
      <c r="C1129" s="2" t="str">
        <v>ЯПОНИЯ ЯПОНИЯ</v>
      </c>
      <c r="D1129" s="2" t="str">
        <v>Вегальта Сендай-Блаублитц</v>
      </c>
      <c r="E1129" s="3">
        <f>1.90</f>
      </c>
      <c r="F1129" s="3">
        <f>3.20</f>
      </c>
      <c r="G1129" s="3">
        <f>4.75</f>
      </c>
      <c r="H1129" s="3">
        <f>=ROUND((1000/((1000/E1129) + (1000/f1129))),2)</f>
      </c>
      <c r="I1129" s="3">
        <f>=ROUND((1000/((1000/E1129) + (1000/G1129))),2)</f>
      </c>
      <c r="J1129" s="3">
        <f>=ROUND((1000/((1000/F1129) + (1000/G1129))),2)</f>
      </c>
    </row>
    <row r="1130">
      <c r="A1130" s="2" t="str">
        <v>01/05 ВС</v>
      </c>
      <c r="B1130" s="2" t="str">
        <v>09:00</v>
      </c>
      <c r="C1130" s="2" t="str">
        <v>ЯПОНИЯ ЯПОНИЯ</v>
      </c>
      <c r="D1130" s="2" t="str">
        <v>Сайтама (Ж)-Нодзима Стелла (Ж)</v>
      </c>
      <c r="E1130" s="3">
        <f>-</f>
      </c>
      <c r="F1130" s="3">
        <f>-</f>
      </c>
      <c r="G1130" s="3">
        <f>-</f>
      </c>
      <c r="H1130" s="3">
        <f>=ROUND((1000/((1000/E1130) + (1000/f1130))),2)</f>
      </c>
      <c r="I1130" s="3">
        <f>=ROUND((1000/((1000/E1130) + (1000/G1130))),2)</f>
      </c>
      <c r="J1130" s="3">
        <f>=ROUND((1000/((1000/F1130) + (1000/G1130))),2)</f>
      </c>
    </row>
    <row r="1131">
      <c r="A1131" s="2" t="str">
        <v>01/05 ВС</v>
      </c>
      <c r="B1131" s="2" t="str">
        <v>08:00</v>
      </c>
      <c r="C1131" s="2" t="str">
        <v>ЯПОНИЯ ЯПОНИЯ</v>
      </c>
      <c r="D1131" s="2" t="str">
        <v>Анжевиолет Хиросима (Ж)-Такацуки (Ж)</v>
      </c>
      <c r="E1131" s="3">
        <f>-</f>
      </c>
      <c r="F1131" s="3">
        <f>-</f>
      </c>
      <c r="G1131" s="3">
        <f>-</f>
      </c>
      <c r="H1131" s="3">
        <f>=ROUND((1000/((1000/E1131) + (1000/f1131))),2)</f>
      </c>
      <c r="I1131" s="3">
        <f>=ROUND((1000/((1000/E1131) + (1000/G1131))),2)</f>
      </c>
      <c r="J1131" s="3">
        <f>=ROUND((1000/((1000/F1131) + (1000/G1131))),2)</f>
      </c>
    </row>
    <row r="1132">
      <c r="A1132" s="2" t="str">
        <v>01/05 ВС</v>
      </c>
      <c r="B1132" s="2" t="str">
        <v>08:00</v>
      </c>
      <c r="C1132" s="2" t="str">
        <v>ЯПОНИЯ ЯПОНИЯ</v>
      </c>
      <c r="D1132" s="2" t="str">
        <v>Ганма (Ж)-Харима Альбион (Ж)</v>
      </c>
      <c r="E1132" s="3">
        <f>-</f>
      </c>
      <c r="F1132" s="3">
        <f>-</f>
      </c>
      <c r="G1132" s="3">
        <f>-</f>
      </c>
      <c r="H1132" s="3">
        <f>=ROUND((1000/((1000/E1132) + (1000/f1132))),2)</f>
      </c>
      <c r="I1132" s="3">
        <f>=ROUND((1000/((1000/E1132) + (1000/G1132))),2)</f>
      </c>
      <c r="J1132" s="3">
        <f>=ROUND((1000/((1000/F1132) + (1000/G1132))),2)</f>
      </c>
    </row>
    <row r="1133">
      <c r="A1133" s="2" t="str">
        <v>01/05 ВС</v>
      </c>
      <c r="B1133" s="2" t="str">
        <v>08:00</v>
      </c>
      <c r="C1133" s="2" t="str">
        <v>ЯПОНИЯ ЯПОНИЯ</v>
      </c>
      <c r="D1133" s="2" t="str">
        <v>Орка (Ж)-НГУ Нагоя (Ж)</v>
      </c>
      <c r="E1133" s="3">
        <f>-</f>
      </c>
      <c r="F1133" s="3">
        <f>-</f>
      </c>
      <c r="G1133" s="3">
        <f>-</f>
      </c>
      <c r="H1133" s="3">
        <f>=ROUND((1000/((1000/E1133) + (1000/f1133))),2)</f>
      </c>
      <c r="I1133" s="3">
        <f>=ROUND((1000/((1000/E1133) + (1000/G1133))),2)</f>
      </c>
      <c r="J1133" s="3">
        <f>=ROUND((1000/((1000/F1133) + (1000/G1133))),2)</f>
      </c>
    </row>
    <row r="1134">
      <c r="A1134" s="2" t="str">
        <v>01/05 ВС</v>
      </c>
      <c r="B1134" s="2" t="str">
        <v>08:00</v>
      </c>
      <c r="C1134" s="2" t="str">
        <v>ЯПОНИЯ ЯПОНИЯ</v>
      </c>
      <c r="D1134" s="2" t="str">
        <v>Эхимэ (Ж)-Йокогама (Ж)</v>
      </c>
      <c r="E1134" s="3">
        <f>-</f>
      </c>
      <c r="F1134" s="3">
        <f>-</f>
      </c>
      <c r="G1134" s="3">
        <f>-</f>
      </c>
      <c r="H1134" s="3">
        <f>=ROUND((1000/((1000/E1134) + (1000/f1134))),2)</f>
      </c>
      <c r="I1134" s="3">
        <f>=ROUND((1000/((1000/E1134) + (1000/G1134))),2)</f>
      </c>
      <c r="J1134" s="3">
        <f>=ROUND((1000/((1000/F1134) + (1000/G1134))),2)</f>
      </c>
    </row>
    <row r="1135">
      <c r="A1135" s="2" t="str">
        <v>01/05 ВС</v>
      </c>
      <c r="B1135" s="2" t="str">
        <v>09:00</v>
      </c>
      <c r="C1135" s="2" t="str">
        <v>ЯПОНИЯ ЯПОНИЯ</v>
      </c>
      <c r="D1135" s="2" t="str">
        <v>Сэтагая (Ж)-Ниттаидаи (Ж)</v>
      </c>
      <c r="E1135" s="3">
        <f>-</f>
      </c>
      <c r="F1135" s="3">
        <f>-</f>
      </c>
      <c r="G1135" s="3">
        <f>-</f>
      </c>
      <c r="H1135" s="3">
        <f>=ROUND((1000/((1000/E1135) + (1000/f1135))),2)</f>
      </c>
      <c r="I1135" s="3">
        <f>=ROUND((1000/((1000/E1135) + (1000/G1135))),2)</f>
      </c>
      <c r="J1135" s="3">
        <f>=ROUND((1000/((1000/F1135) + (1000/G1135))),2)</f>
      </c>
    </row>
    <row r="1136">
      <c r="A1136" s="2" t="str">
        <v>02/05 ПН</v>
      </c>
      <c r="B1136" s="2" t="str">
        <v>23:00</v>
      </c>
      <c r="C1136" s="2" t="str">
        <v>АНГЛИЯ АНГЛИЯ</v>
      </c>
      <c r="D1136" s="2" t="str">
        <v>Манчестер Юнайтед-Брентфорд</v>
      </c>
      <c r="E1136" s="3">
        <f>1.70</f>
      </c>
      <c r="F1136" s="3">
        <f>4.00</f>
      </c>
      <c r="G1136" s="3">
        <f>4.50</f>
      </c>
      <c r="H1136" s="3">
        <f>=ROUND((1000/((1000/E1136) + (1000/f1136))),2)</f>
      </c>
      <c r="I1136" s="3">
        <f>=ROUND((1000/((1000/E1136) + (1000/G1136))),2)</f>
      </c>
      <c r="J1136" s="3">
        <f>=ROUND((1000/((1000/F1136) + (1000/G1136))),2)</f>
      </c>
    </row>
    <row r="1137">
      <c r="A1137" s="2" t="str">
        <v>02/05 ПН</v>
      </c>
      <c r="B1137" s="2" t="str">
        <v>22:30</v>
      </c>
      <c r="C1137" s="2" t="str">
        <v>ГЕРМАНИЯ ГЕРМАНИЯ</v>
      </c>
      <c r="D1137" s="2" t="str">
        <v>Байер-Айнтрахт Ф</v>
      </c>
      <c r="E1137" s="3">
        <f>1.40</f>
      </c>
      <c r="F1137" s="3">
        <f>5.00</f>
      </c>
      <c r="G1137" s="3">
        <f>7.00</f>
      </c>
      <c r="H1137" s="3">
        <f>=ROUND((1000/((1000/E1137) + (1000/f1137))),2)</f>
      </c>
      <c r="I1137" s="3">
        <f>=ROUND((1000/((1000/E1137) + (1000/G1137))),2)</f>
      </c>
      <c r="J1137" s="3">
        <f>=ROUND((1000/((1000/F1137) + (1000/G1137))),2)</f>
      </c>
    </row>
    <row r="1138">
      <c r="A1138" s="2" t="str">
        <v>02/05 ПН</v>
      </c>
      <c r="B1138" s="2" t="str">
        <v>22:30</v>
      </c>
      <c r="C1138" s="2" t="str">
        <v>ГЕРМАНИЯ ГЕРМАНИЯ</v>
      </c>
      <c r="D1138" s="2" t="str">
        <v>Боруссия М-РБ Лейпциг</v>
      </c>
      <c r="E1138" s="3">
        <f>4.50</f>
      </c>
      <c r="F1138" s="3">
        <f>4.00</f>
      </c>
      <c r="G1138" s="3">
        <f>1.70</f>
      </c>
      <c r="H1138" s="3">
        <f>=ROUND((1000/((1000/E1138) + (1000/f1138))),2)</f>
      </c>
      <c r="I1138" s="3">
        <f>=ROUND((1000/((1000/E1138) + (1000/G1138))),2)</f>
      </c>
      <c r="J1138" s="3">
        <f>=ROUND((1000/((1000/F1138) + (1000/G1138))),2)</f>
      </c>
    </row>
    <row r="1139">
      <c r="A1139" s="2" t="str">
        <v>02/05 ПН</v>
      </c>
      <c r="B1139" s="2" t="str">
        <v>23:00</v>
      </c>
      <c r="C1139" s="2" t="str">
        <v>ИСПАНИЯ ИСПАНИЯ</v>
      </c>
      <c r="D1139" s="2" t="str">
        <v>Хетафе-Бетис</v>
      </c>
      <c r="E1139" s="3">
        <f>2.80</f>
      </c>
      <c r="F1139" s="3">
        <f>3.10</f>
      </c>
      <c r="G1139" s="3">
        <f>2.62</f>
      </c>
      <c r="H1139" s="3">
        <f>=ROUND((1000/((1000/E1139) + (1000/f1139))),2)</f>
      </c>
      <c r="I1139" s="3">
        <f>=ROUND((1000/((1000/E1139) + (1000/G1139))),2)</f>
      </c>
      <c r="J1139" s="3">
        <f>=ROUND((1000/((1000/F1139) + (1000/G1139))),2)</f>
      </c>
    </row>
    <row r="1140">
      <c r="A1140" s="2" t="str">
        <v>02/05 ПН</v>
      </c>
      <c r="B1140" s="2" t="str">
        <v>22:45</v>
      </c>
      <c r="C1140" s="2" t="str">
        <v>ИТАЛИЯ ИТАЛИЯ</v>
      </c>
      <c r="D1140" s="2" t="str">
        <v>Аталанта-Салернитана</v>
      </c>
      <c r="E1140" s="3">
        <f>1.28</f>
      </c>
      <c r="F1140" s="3">
        <f>6.00</f>
      </c>
      <c r="G1140" s="3">
        <f>8.50</f>
      </c>
      <c r="H1140" s="3">
        <f>=ROUND((1000/((1000/E1140) + (1000/f1140))),2)</f>
      </c>
      <c r="I1140" s="3">
        <f>=ROUND((1000/((1000/E1140) + (1000/G1140))),2)</f>
      </c>
      <c r="J1140" s="3">
        <f>=ROUND((1000/((1000/F1140) + (1000/G1140))),2)</f>
      </c>
    </row>
    <row r="1141">
      <c r="A1141" s="2" t="str">
        <v>02/05 ПН</v>
      </c>
      <c r="B1141" s="2" t="str">
        <v>20:00</v>
      </c>
      <c r="C1141" s="2" t="str">
        <v>РОССИЯ РОССИЯ</v>
      </c>
      <c r="D1141" s="2" t="str">
        <v>Арсенал Тула-Нижний Новгород</v>
      </c>
      <c r="E1141" s="3">
        <f>-</f>
      </c>
      <c r="F1141" s="3">
        <f>-</f>
      </c>
      <c r="G1141" s="3">
        <f>-</f>
      </c>
      <c r="H1141" s="3">
        <f>=ROUND((1000/((1000/E1141) + (1000/f1141))),2)</f>
      </c>
      <c r="I1141" s="3">
        <f>=ROUND((1000/((1000/E1141) + (1000/G1141))),2)</f>
      </c>
      <c r="J1141" s="3">
        <f>=ROUND((1000/((1000/F1141) + (1000/G1141))),2)</f>
      </c>
    </row>
    <row r="1142">
      <c r="A1142" s="2" t="str">
        <v>02/05 ПН</v>
      </c>
      <c r="B1142" s="2" t="str">
        <v>15:30</v>
      </c>
      <c r="C1142" s="2" t="str">
        <v>АЗЕРБАЙДЖАН АЗЕРБАЙДЖАН</v>
      </c>
      <c r="D1142" s="2" t="str">
        <v>Кяпаз-МОИК</v>
      </c>
      <c r="E1142" s="3">
        <f>-</f>
      </c>
      <c r="F1142" s="3">
        <f>-</f>
      </c>
      <c r="G1142" s="3">
        <f>-</f>
      </c>
      <c r="H1142" s="3">
        <f>=ROUND((1000/((1000/E1142) + (1000/f1142))),2)</f>
      </c>
      <c r="I1142" s="3">
        <f>=ROUND((1000/((1000/E1142) + (1000/G1142))),2)</f>
      </c>
      <c r="J1142" s="3">
        <f>=ROUND((1000/((1000/F1142) + (1000/G1142))),2)</f>
      </c>
    </row>
    <row r="1143">
      <c r="A1143" s="2" t="str">
        <v>02/05 ПН</v>
      </c>
      <c r="B1143" s="2" t="str">
        <v>16:00</v>
      </c>
      <c r="C1143" s="2" t="str">
        <v>АЗЕРБАЙДЖАН АЗЕРБАЙДЖАН</v>
      </c>
      <c r="D1143" s="2" t="str">
        <v>Карабах 2-Сабах Баку 2</v>
      </c>
      <c r="E1143" s="3">
        <f>-</f>
      </c>
      <c r="F1143" s="3">
        <f>-</f>
      </c>
      <c r="G1143" s="3">
        <f>-</f>
      </c>
      <c r="H1143" s="3">
        <f>=ROUND((1000/((1000/E1143) + (1000/f1143))),2)</f>
      </c>
      <c r="I1143" s="3">
        <f>=ROUND((1000/((1000/E1143) + (1000/G1143))),2)</f>
      </c>
      <c r="J1143" s="3">
        <f>=ROUND((1000/((1000/F1143) + (1000/G1143))),2)</f>
      </c>
    </row>
    <row r="1144">
      <c r="A1144" s="2" t="str">
        <v>02/05 ПН</v>
      </c>
      <c r="B1144" s="2" t="str">
        <v>16:00</v>
      </c>
      <c r="C1144" s="2" t="str">
        <v>АЗЕРБАЙДЖАН АЗЕРБАЙДЖАН</v>
      </c>
      <c r="D1144" s="2" t="str">
        <v>Локбатан-Габала 2</v>
      </c>
      <c r="E1144" s="3">
        <f>-</f>
      </c>
      <c r="F1144" s="3">
        <f>-</f>
      </c>
      <c r="G1144" s="3">
        <f>-</f>
      </c>
      <c r="H1144" s="3">
        <f>=ROUND((1000/((1000/E1144) + (1000/f1144))),2)</f>
      </c>
      <c r="I1144" s="3">
        <f>=ROUND((1000/((1000/E1144) + (1000/G1144))),2)</f>
      </c>
      <c r="J1144" s="3">
        <f>=ROUND((1000/((1000/F1144) + (1000/G1144))),2)</f>
      </c>
    </row>
    <row r="1145">
      <c r="A1145" s="2" t="str">
        <v>02/05 ПН</v>
      </c>
      <c r="B1145" s="2" t="str">
        <v>20:15</v>
      </c>
      <c r="C1145" s="2" t="str">
        <v>АНГЛИЯ АНГЛИЯ</v>
      </c>
      <c r="D1145" s="2" t="str">
        <v>Фулхэм-Лутон Таун</v>
      </c>
      <c r="E1145" s="3">
        <f>1.50</f>
      </c>
      <c r="F1145" s="3">
        <f>4.20</f>
      </c>
      <c r="G1145" s="3">
        <f>6.50</f>
      </c>
      <c r="H1145" s="3">
        <f>=ROUND((1000/((1000/E1145) + (1000/f1145))),2)</f>
      </c>
      <c r="I1145" s="3">
        <f>=ROUND((1000/((1000/E1145) + (1000/G1145))),2)</f>
      </c>
      <c r="J1145" s="3">
        <f>=ROUND((1000/((1000/F1145) + (1000/G1145))),2)</f>
      </c>
    </row>
    <row r="1146">
      <c r="A1146" s="2" t="str">
        <v>02/05 ПН</v>
      </c>
      <c r="B1146" s="2" t="str">
        <v>15:30</v>
      </c>
      <c r="C1146" s="2" t="str">
        <v>АНГЛИЯ АНГЛИЯ</v>
      </c>
      <c r="D1146" s="2" t="str">
        <v>Солфорд-Мансфилд Таун</v>
      </c>
      <c r="E1146" s="3">
        <f>2.40</f>
      </c>
      <c r="F1146" s="3">
        <f>3.40</f>
      </c>
      <c r="G1146" s="3">
        <f>2.90</f>
      </c>
      <c r="H1146" s="3">
        <f>=ROUND((1000/((1000/E1146) + (1000/f1146))),2)</f>
      </c>
      <c r="I1146" s="3">
        <f>=ROUND((1000/((1000/E1146) + (1000/G1146))),2)</f>
      </c>
      <c r="J1146" s="3">
        <f>=ROUND((1000/((1000/F1146) + (1000/G1146))),2)</f>
      </c>
    </row>
    <row r="1147">
      <c r="A1147" s="2" t="str">
        <v>02/05 ПН</v>
      </c>
      <c r="B1147" s="2" t="str">
        <v>18:00</v>
      </c>
      <c r="C1147" s="2" t="str">
        <v>АНГЛИЯ АНГЛИЯ</v>
      </c>
      <c r="D1147" s="2" t="str">
        <v>Порт Вэйл-Ньюпорт</v>
      </c>
      <c r="E1147" s="3">
        <f>1.90</f>
      </c>
      <c r="F1147" s="3">
        <f>3.50</f>
      </c>
      <c r="G1147" s="3">
        <f>4.20</f>
      </c>
      <c r="H1147" s="3">
        <f>=ROUND((1000/((1000/E1147) + (1000/f1147))),2)</f>
      </c>
      <c r="I1147" s="3">
        <f>=ROUND((1000/((1000/E1147) + (1000/G1147))),2)</f>
      </c>
      <c r="J1147" s="3">
        <f>=ROUND((1000/((1000/F1147) + (1000/G1147))),2)</f>
      </c>
    </row>
    <row r="1148">
      <c r="A1148" s="2" t="str">
        <v>02/05 ПН</v>
      </c>
      <c r="B1148" s="2" t="str">
        <v>18:00</v>
      </c>
      <c r="C1148" s="2" t="str">
        <v>АНГЛИЯ АНГЛИЯ</v>
      </c>
      <c r="D1148" s="2" t="str">
        <v>Алтринчем-Барнет</v>
      </c>
      <c r="E1148" s="3">
        <f>-</f>
      </c>
      <c r="F1148" s="3">
        <f>-</f>
      </c>
      <c r="G1148" s="3">
        <f>-</f>
      </c>
      <c r="H1148" s="3">
        <f>=ROUND((1000/((1000/E1148) + (1000/f1148))),2)</f>
      </c>
      <c r="I1148" s="3">
        <f>=ROUND((1000/((1000/E1148) + (1000/G1148))),2)</f>
      </c>
      <c r="J1148" s="3">
        <f>=ROUND((1000/((1000/F1148) + (1000/G1148))),2)</f>
      </c>
    </row>
    <row r="1149">
      <c r="A1149" s="2" t="str">
        <v>02/05 ПН</v>
      </c>
      <c r="B1149" s="2" t="str">
        <v>18:00</v>
      </c>
      <c r="C1149" s="2" t="str">
        <v>АНГЛИЯ АНГЛИЯ</v>
      </c>
      <c r="D1149" s="2" t="str">
        <v>Борхэм Вуд-Рексхем</v>
      </c>
      <c r="E1149" s="3">
        <f>-</f>
      </c>
      <c r="F1149" s="3">
        <f>-</f>
      </c>
      <c r="G1149" s="3">
        <f>-</f>
      </c>
      <c r="H1149" s="3">
        <f>=ROUND((1000/((1000/E1149) + (1000/f1149))),2)</f>
      </c>
      <c r="I1149" s="3">
        <f>=ROUND((1000/((1000/E1149) + (1000/G1149))),2)</f>
      </c>
      <c r="J1149" s="3">
        <f>=ROUND((1000/((1000/F1149) + (1000/G1149))),2)</f>
      </c>
    </row>
    <row r="1150">
      <c r="A1150" s="2" t="str">
        <v>02/05 ПН</v>
      </c>
      <c r="B1150" s="2" t="str">
        <v>18:00</v>
      </c>
      <c r="C1150" s="2" t="str">
        <v>АНГЛИЯ АНГЛИЯ</v>
      </c>
      <c r="D1150" s="2" t="str">
        <v>Дагенхэм энд Редбридж-Торки Юнайтед</v>
      </c>
      <c r="E1150" s="3">
        <f>-</f>
      </c>
      <c r="F1150" s="3">
        <f>-</f>
      </c>
      <c r="G1150" s="3">
        <f>-</f>
      </c>
      <c r="H1150" s="3">
        <f>=ROUND((1000/((1000/E1150) + (1000/f1150))),2)</f>
      </c>
      <c r="I1150" s="3">
        <f>=ROUND((1000/((1000/E1150) + (1000/G1150))),2)</f>
      </c>
      <c r="J1150" s="3">
        <f>=ROUND((1000/((1000/F1150) + (1000/G1150))),2)</f>
      </c>
    </row>
    <row r="1151">
      <c r="A1151" s="2" t="str">
        <v>02/05 ПН</v>
      </c>
      <c r="B1151" s="2" t="str">
        <v>18:00</v>
      </c>
      <c r="C1151" s="2" t="str">
        <v>АНГЛИЯ АНГЛИЯ</v>
      </c>
      <c r="D1151" s="2" t="str">
        <v>Истли-Галифакс Таун</v>
      </c>
      <c r="E1151" s="3">
        <f>-</f>
      </c>
      <c r="F1151" s="3">
        <f>-</f>
      </c>
      <c r="G1151" s="3">
        <f>-</f>
      </c>
      <c r="H1151" s="3">
        <f>=ROUND((1000/((1000/E1151) + (1000/f1151))),2)</f>
      </c>
      <c r="I1151" s="3">
        <f>=ROUND((1000/((1000/E1151) + (1000/G1151))),2)</f>
      </c>
      <c r="J1151" s="3">
        <f>=ROUND((1000/((1000/F1151) + (1000/G1151))),2)</f>
      </c>
    </row>
    <row r="1152">
      <c r="A1152" s="2" t="str">
        <v>02/05 ПН</v>
      </c>
      <c r="B1152" s="2" t="str">
        <v>18:00</v>
      </c>
      <c r="C1152" s="2" t="str">
        <v>АНГЛИЯ АНГЛИЯ</v>
      </c>
      <c r="D1152" s="2" t="str">
        <v>Йовил-Уэлдстоун</v>
      </c>
      <c r="E1152" s="3">
        <f>-</f>
      </c>
      <c r="F1152" s="3">
        <f>-</f>
      </c>
      <c r="G1152" s="3">
        <f>-</f>
      </c>
      <c r="H1152" s="3">
        <f>=ROUND((1000/((1000/E1152) + (1000/f1152))),2)</f>
      </c>
      <c r="I1152" s="3">
        <f>=ROUND((1000/((1000/E1152) + (1000/G1152))),2)</f>
      </c>
      <c r="J1152" s="3">
        <f>=ROUND((1000/((1000/F1152) + (1000/G1152))),2)</f>
      </c>
    </row>
    <row r="1153">
      <c r="A1153" s="2" t="str">
        <v>02/05 ПН</v>
      </c>
      <c r="B1153" s="2" t="str">
        <v>18:00</v>
      </c>
      <c r="C1153" s="2" t="str">
        <v>АНГЛИЯ АНГЛИЯ</v>
      </c>
      <c r="D1153" s="2" t="str">
        <v>Мэйденхед-Алдершот Таун</v>
      </c>
      <c r="E1153" s="3">
        <f>-</f>
      </c>
      <c r="F1153" s="3">
        <f>-</f>
      </c>
      <c r="G1153" s="3">
        <f>-</f>
      </c>
      <c r="H1153" s="3">
        <f>=ROUND((1000/((1000/E1153) + (1000/f1153))),2)</f>
      </c>
      <c r="I1153" s="3">
        <f>=ROUND((1000/((1000/E1153) + (1000/G1153))),2)</f>
      </c>
      <c r="J1153" s="3">
        <f>=ROUND((1000/((1000/F1153) + (1000/G1153))),2)</f>
      </c>
    </row>
    <row r="1154">
      <c r="A1154" s="2" t="str">
        <v>02/05 ПН</v>
      </c>
      <c r="B1154" s="2" t="str">
        <v>18:00</v>
      </c>
      <c r="C1154" s="2" t="str">
        <v>АНГЛИЯ АНГЛИЯ</v>
      </c>
      <c r="D1154" s="2" t="str">
        <v>Ноттс Каунти-Довер</v>
      </c>
      <c r="E1154" s="3">
        <f>-</f>
      </c>
      <c r="F1154" s="3">
        <f>-</f>
      </c>
      <c r="G1154" s="3">
        <f>-</f>
      </c>
      <c r="H1154" s="3">
        <f>=ROUND((1000/((1000/E1154) + (1000/f1154))),2)</f>
      </c>
      <c r="I1154" s="3">
        <f>=ROUND((1000/((1000/E1154) + (1000/G1154))),2)</f>
      </c>
      <c r="J1154" s="3">
        <f>=ROUND((1000/((1000/F1154) + (1000/G1154))),2)</f>
      </c>
    </row>
    <row r="1155">
      <c r="A1155" s="2" t="str">
        <v>02/05 ПН</v>
      </c>
      <c r="B1155" s="2" t="str">
        <v>18:00</v>
      </c>
      <c r="C1155" s="2" t="str">
        <v>АНГЛИЯ АНГЛИЯ</v>
      </c>
      <c r="D1155" s="2" t="str">
        <v>Саутенд Юнайтед-Веймут</v>
      </c>
      <c r="E1155" s="3">
        <f>-</f>
      </c>
      <c r="F1155" s="3">
        <f>-</f>
      </c>
      <c r="G1155" s="3">
        <f>-</f>
      </c>
      <c r="H1155" s="3">
        <f>=ROUND((1000/((1000/E1155) + (1000/f1155))),2)</f>
      </c>
      <c r="I1155" s="3">
        <f>=ROUND((1000/((1000/E1155) + (1000/G1155))),2)</f>
      </c>
      <c r="J1155" s="3">
        <f>=ROUND((1000/((1000/F1155) + (1000/G1155))),2)</f>
      </c>
    </row>
    <row r="1156">
      <c r="A1156" s="2" t="str">
        <v>02/05 ПН</v>
      </c>
      <c r="B1156" s="2" t="str">
        <v>18:00</v>
      </c>
      <c r="C1156" s="2" t="str">
        <v>АНГЛИЯ АНГЛИЯ</v>
      </c>
      <c r="D1156" s="2" t="str">
        <v>Солихалл-Бромли</v>
      </c>
      <c r="E1156" s="3">
        <f>-</f>
      </c>
      <c r="F1156" s="3">
        <f>-</f>
      </c>
      <c r="G1156" s="3">
        <f>-</f>
      </c>
      <c r="H1156" s="3">
        <f>=ROUND((1000/((1000/E1156) + (1000/f1156))),2)</f>
      </c>
      <c r="I1156" s="3">
        <f>=ROUND((1000/((1000/E1156) + (1000/G1156))),2)</f>
      </c>
      <c r="J1156" s="3">
        <f>=ROUND((1000/((1000/F1156) + (1000/G1156))),2)</f>
      </c>
    </row>
    <row r="1157">
      <c r="A1157" s="2" t="str">
        <v>02/05 ПН</v>
      </c>
      <c r="B1157" s="2" t="str">
        <v>18:00</v>
      </c>
      <c r="C1157" s="2" t="str">
        <v>АНГЛИЯ АНГЛИЯ</v>
      </c>
      <c r="D1157" s="2" t="str">
        <v>Уокинг-Кингс Линн</v>
      </c>
      <c r="E1157" s="3">
        <f>-</f>
      </c>
      <c r="F1157" s="3">
        <f>-</f>
      </c>
      <c r="G1157" s="3">
        <f>-</f>
      </c>
      <c r="H1157" s="3">
        <f>=ROUND((1000/((1000/E1157) + (1000/f1157))),2)</f>
      </c>
      <c r="I1157" s="3">
        <f>=ROUND((1000/((1000/E1157) + (1000/G1157))),2)</f>
      </c>
      <c r="J1157" s="3">
        <f>=ROUND((1000/((1000/F1157) + (1000/G1157))),2)</f>
      </c>
    </row>
    <row r="1158">
      <c r="A1158" s="2" t="str">
        <v>02/05 ПН</v>
      </c>
      <c r="B1158" s="2" t="str">
        <v>18:00</v>
      </c>
      <c r="C1158" s="2" t="str">
        <v>АНГЛИЯ АНГЛИЯ</v>
      </c>
      <c r="D1158" s="2" t="str">
        <v>Честерфилд-Стокпорт Каунти</v>
      </c>
      <c r="E1158" s="3">
        <f>-</f>
      </c>
      <c r="F1158" s="3">
        <f>-</f>
      </c>
      <c r="G1158" s="3">
        <f>-</f>
      </c>
      <c r="H1158" s="3">
        <f>=ROUND((1000/((1000/E1158) + (1000/f1158))),2)</f>
      </c>
      <c r="I1158" s="3">
        <f>=ROUND((1000/((1000/E1158) + (1000/G1158))),2)</f>
      </c>
      <c r="J1158" s="3">
        <f>=ROUND((1000/((1000/F1158) + (1000/G1158))),2)</f>
      </c>
    </row>
    <row r="1159">
      <c r="A1159" s="2" t="str">
        <v>02/05 ПН</v>
      </c>
      <c r="B1159" s="2" t="str">
        <v>18:00</v>
      </c>
      <c r="C1159" s="2" t="str">
        <v>АНГЛИЯ АНГЛИЯ</v>
      </c>
      <c r="D1159" s="2" t="str">
        <v>Блит-Курзон Аштон</v>
      </c>
      <c r="E1159" s="3">
        <f>-</f>
      </c>
      <c r="F1159" s="3">
        <f>-</f>
      </c>
      <c r="G1159" s="3">
        <f>-</f>
      </c>
      <c r="H1159" s="3">
        <f>=ROUND((1000/((1000/E1159) + (1000/f1159))),2)</f>
      </c>
      <c r="I1159" s="3">
        <f>=ROUND((1000/((1000/E1159) + (1000/G1159))),2)</f>
      </c>
      <c r="J1159" s="3">
        <f>=ROUND((1000/((1000/F1159) + (1000/G1159))),2)</f>
      </c>
    </row>
    <row r="1160">
      <c r="A1160" s="2" t="str">
        <v>02/05 ПН</v>
      </c>
      <c r="B1160" s="2" t="str">
        <v>18:00</v>
      </c>
      <c r="C1160" s="2" t="str">
        <v>АНГЛИЯ АНГЛИЯ</v>
      </c>
      <c r="D1160" s="2" t="str">
        <v>Бостон Юнайтед-Глостер</v>
      </c>
      <c r="E1160" s="3">
        <f>-</f>
      </c>
      <c r="F1160" s="3">
        <f>-</f>
      </c>
      <c r="G1160" s="3">
        <f>-</f>
      </c>
      <c r="H1160" s="3">
        <f>=ROUND((1000/((1000/E1160) + (1000/f1160))),2)</f>
      </c>
      <c r="I1160" s="3">
        <f>=ROUND((1000/((1000/E1160) + (1000/G1160))),2)</f>
      </c>
      <c r="J1160" s="3">
        <f>=ROUND((1000/((1000/F1160) + (1000/G1160))),2)</f>
      </c>
    </row>
    <row r="1161">
      <c r="A1161" s="2" t="str">
        <v>02/05 ПН</v>
      </c>
      <c r="B1161" s="2" t="str">
        <v>18:00</v>
      </c>
      <c r="C1161" s="2" t="str">
        <v>АНГЛИЯ АНГЛИЯ</v>
      </c>
      <c r="D1161" s="2" t="str">
        <v>Гуисли-Спеннимур</v>
      </c>
      <c r="E1161" s="3">
        <f>-</f>
      </c>
      <c r="F1161" s="3">
        <f>-</f>
      </c>
      <c r="G1161" s="3">
        <f>-</f>
      </c>
      <c r="H1161" s="3">
        <f>=ROUND((1000/((1000/E1161) + (1000/f1161))),2)</f>
      </c>
      <c r="I1161" s="3">
        <f>=ROUND((1000/((1000/E1161) + (1000/G1161))),2)</f>
      </c>
      <c r="J1161" s="3">
        <f>=ROUND((1000/((1000/F1161) + (1000/G1161))),2)</f>
      </c>
    </row>
    <row r="1162">
      <c r="A1162" s="2" t="str">
        <v>02/05 ПН</v>
      </c>
      <c r="B1162" s="2" t="str">
        <v>18:00</v>
      </c>
      <c r="C1162" s="2" t="str">
        <v>АНГЛИЯ АНГЛИЯ</v>
      </c>
      <c r="D1162" s="2" t="str">
        <v>Дарлингтон-Фарсли</v>
      </c>
      <c r="E1162" s="3">
        <f>-</f>
      </c>
      <c r="F1162" s="3">
        <f>-</f>
      </c>
      <c r="G1162" s="3">
        <f>-</f>
      </c>
      <c r="H1162" s="3">
        <f>=ROUND((1000/((1000/E1162) + (1000/f1162))),2)</f>
      </c>
      <c r="I1162" s="3">
        <f>=ROUND((1000/((1000/E1162) + (1000/G1162))),2)</f>
      </c>
      <c r="J1162" s="3">
        <f>=ROUND((1000/((1000/F1162) + (1000/G1162))),2)</f>
      </c>
    </row>
    <row r="1163">
      <c r="A1163" s="2" t="str">
        <v>02/05 ПН</v>
      </c>
      <c r="B1163" s="2" t="str">
        <v>18:00</v>
      </c>
      <c r="C1163" s="2" t="str">
        <v>АНГЛИЯ АНГЛИЯ</v>
      </c>
      <c r="D1163" s="2" t="str">
        <v>Йорк Сити-Файлд</v>
      </c>
      <c r="E1163" s="3">
        <f>-</f>
      </c>
      <c r="F1163" s="3">
        <f>-</f>
      </c>
      <c r="G1163" s="3">
        <f>-</f>
      </c>
      <c r="H1163" s="3">
        <f>=ROUND((1000/((1000/E1163) + (1000/f1163))),2)</f>
      </c>
      <c r="I1163" s="3">
        <f>=ROUND((1000/((1000/E1163) + (1000/G1163))),2)</f>
      </c>
      <c r="J1163" s="3">
        <f>=ROUND((1000/((1000/F1163) + (1000/G1163))),2)</f>
      </c>
    </row>
    <row r="1164">
      <c r="A1164" s="2" t="str">
        <v>02/05 ПН</v>
      </c>
      <c r="B1164" s="2" t="str">
        <v>18:00</v>
      </c>
      <c r="C1164" s="2" t="str">
        <v>АНГЛИЯ АНГЛИЯ</v>
      </c>
      <c r="D1164" s="2" t="str">
        <v>Кеттеринг-Алфретон</v>
      </c>
      <c r="E1164" s="3">
        <f>-</f>
      </c>
      <c r="F1164" s="3">
        <f>-</f>
      </c>
      <c r="G1164" s="3">
        <f>-</f>
      </c>
      <c r="H1164" s="3">
        <f>=ROUND((1000/((1000/E1164) + (1000/f1164))),2)</f>
      </c>
      <c r="I1164" s="3">
        <f>=ROUND((1000/((1000/E1164) + (1000/G1164))),2)</f>
      </c>
      <c r="J1164" s="3">
        <f>=ROUND((1000/((1000/F1164) + (1000/G1164))),2)</f>
      </c>
    </row>
    <row r="1165">
      <c r="A1165" s="2" t="str">
        <v>02/05 ПН</v>
      </c>
      <c r="B1165" s="2" t="str">
        <v>18:00</v>
      </c>
      <c r="C1165" s="2" t="str">
        <v>АНГЛИЯ АНГЛИЯ</v>
      </c>
      <c r="D1165" s="2" t="str">
        <v>Лимингтон-Киддерминстер</v>
      </c>
      <c r="E1165" s="3">
        <f>-</f>
      </c>
      <c r="F1165" s="3">
        <f>-</f>
      </c>
      <c r="G1165" s="3">
        <f>-</f>
      </c>
      <c r="H1165" s="3">
        <f>=ROUND((1000/((1000/E1165) + (1000/f1165))),2)</f>
      </c>
      <c r="I1165" s="3">
        <f>=ROUND((1000/((1000/E1165) + (1000/G1165))),2)</f>
      </c>
      <c r="J1165" s="3">
        <f>=ROUND((1000/((1000/F1165) + (1000/G1165))),2)</f>
      </c>
    </row>
    <row r="1166">
      <c r="A1166" s="2" t="str">
        <v>02/05 ПН</v>
      </c>
      <c r="B1166" s="2" t="str">
        <v>18:00</v>
      </c>
      <c r="C1166" s="2" t="str">
        <v>АНГЛИЯ АНГЛИЯ</v>
      </c>
      <c r="D1166" s="2" t="str">
        <v>Саутпорт-Телфорд</v>
      </c>
      <c r="E1166" s="3">
        <f>-</f>
      </c>
      <c r="F1166" s="3">
        <f>-</f>
      </c>
      <c r="G1166" s="3">
        <f>-</f>
      </c>
      <c r="H1166" s="3">
        <f>=ROUND((1000/((1000/E1166) + (1000/f1166))),2)</f>
      </c>
      <c r="I1166" s="3">
        <f>=ROUND((1000/((1000/E1166) + (1000/G1166))),2)</f>
      </c>
      <c r="J1166" s="3">
        <f>=ROUND((1000/((1000/F1166) + (1000/G1166))),2)</f>
      </c>
    </row>
    <row r="1167">
      <c r="A1167" s="2" t="str">
        <v>02/05 ПН</v>
      </c>
      <c r="B1167" s="2" t="str">
        <v>18:00</v>
      </c>
      <c r="C1167" s="2" t="str">
        <v>АНГЛИЯ АНГЛИЯ</v>
      </c>
      <c r="D1167" s="2" t="str">
        <v>Херефорд-Бракли Таун</v>
      </c>
      <c r="E1167" s="3">
        <f>-</f>
      </c>
      <c r="F1167" s="3">
        <f>-</f>
      </c>
      <c r="G1167" s="3">
        <f>-</f>
      </c>
      <c r="H1167" s="3">
        <f>=ROUND((1000/((1000/E1167) + (1000/f1167))),2)</f>
      </c>
      <c r="I1167" s="3">
        <f>=ROUND((1000/((1000/E1167) + (1000/G1167))),2)</f>
      </c>
      <c r="J1167" s="3">
        <f>=ROUND((1000/((1000/F1167) + (1000/G1167))),2)</f>
      </c>
    </row>
    <row r="1168">
      <c r="A1168" s="2" t="str">
        <v>02/05 ПН</v>
      </c>
      <c r="B1168" s="2" t="str">
        <v>18:00</v>
      </c>
      <c r="C1168" s="2" t="str">
        <v>АНГЛИЯ АНГЛИЯ</v>
      </c>
      <c r="D1168" s="2" t="str">
        <v>Честер-Брэдфорд Парк Авеню</v>
      </c>
      <c r="E1168" s="3">
        <f>-</f>
      </c>
      <c r="F1168" s="3">
        <f>-</f>
      </c>
      <c r="G1168" s="3">
        <f>-</f>
      </c>
      <c r="H1168" s="3">
        <f>=ROUND((1000/((1000/E1168) + (1000/f1168))),2)</f>
      </c>
      <c r="I1168" s="3">
        <f>=ROUND((1000/((1000/E1168) + (1000/G1168))),2)</f>
      </c>
      <c r="J1168" s="3">
        <f>=ROUND((1000/((1000/F1168) + (1000/G1168))),2)</f>
      </c>
    </row>
    <row r="1169">
      <c r="A1169" s="2" t="str">
        <v>02/05 ПН</v>
      </c>
      <c r="B1169" s="2" t="str">
        <v>18:00</v>
      </c>
      <c r="C1169" s="2" t="str">
        <v>АНГЛИЯ АНГЛИЯ</v>
      </c>
      <c r="D1169" s="2" t="str">
        <v>Чорли-Гейтсхэд</v>
      </c>
      <c r="E1169" s="3">
        <f>-</f>
      </c>
      <c r="F1169" s="3">
        <f>-</f>
      </c>
      <c r="G1169" s="3">
        <f>-</f>
      </c>
      <c r="H1169" s="3">
        <f>=ROUND((1000/((1000/E1169) + (1000/f1169))),2)</f>
      </c>
      <c r="I1169" s="3">
        <f>=ROUND((1000/((1000/E1169) + (1000/G1169))),2)</f>
      </c>
      <c r="J1169" s="3">
        <f>=ROUND((1000/((1000/F1169) + (1000/G1169))),2)</f>
      </c>
    </row>
    <row r="1170">
      <c r="A1170" s="2" t="str">
        <v>02/05 ПН</v>
      </c>
      <c r="B1170" s="2" t="str">
        <v>18:00</v>
      </c>
      <c r="C1170" s="2" t="str">
        <v>АНГЛИЯ АНГЛИЯ</v>
      </c>
      <c r="D1170" s="2" t="str">
        <v>Биллерике-Эббсфлит Юнайтед</v>
      </c>
      <c r="E1170" s="3">
        <f>-</f>
      </c>
      <c r="F1170" s="3">
        <f>-</f>
      </c>
      <c r="G1170" s="3">
        <f>-</f>
      </c>
      <c r="H1170" s="3">
        <f>=ROUND((1000/((1000/E1170) + (1000/f1170))),2)</f>
      </c>
      <c r="I1170" s="3">
        <f>=ROUND((1000/((1000/E1170) + (1000/G1170))),2)</f>
      </c>
      <c r="J1170" s="3">
        <f>=ROUND((1000/((1000/F1170) + (1000/G1170))),2)</f>
      </c>
    </row>
    <row r="1171">
      <c r="A1171" s="2" t="str">
        <v>02/05 ПН</v>
      </c>
      <c r="B1171" s="2" t="str">
        <v>18:00</v>
      </c>
      <c r="C1171" s="2" t="str">
        <v>АНГЛИЯ АНГЛИЯ</v>
      </c>
      <c r="D1171" s="2" t="str">
        <v>Дартфорд-Брэйнтри</v>
      </c>
      <c r="E1171" s="3">
        <f>-</f>
      </c>
      <c r="F1171" s="3">
        <f>-</f>
      </c>
      <c r="G1171" s="3">
        <f>-</f>
      </c>
      <c r="H1171" s="3">
        <f>=ROUND((1000/((1000/E1171) + (1000/f1171))),2)</f>
      </c>
      <c r="I1171" s="3">
        <f>=ROUND((1000/((1000/E1171) + (1000/G1171))),2)</f>
      </c>
      <c r="J1171" s="3">
        <f>=ROUND((1000/((1000/F1171) + (1000/G1171))),2)</f>
      </c>
    </row>
    <row r="1172">
      <c r="A1172" s="2" t="str">
        <v>02/05 ПН</v>
      </c>
      <c r="B1172" s="2" t="str">
        <v>18:00</v>
      </c>
      <c r="C1172" s="2" t="str">
        <v>АНГЛИЯ АНГЛИЯ</v>
      </c>
      <c r="D1172" s="2" t="str">
        <v>Доркинг-Далвич Гамлет</v>
      </c>
      <c r="E1172" s="3">
        <f>-</f>
      </c>
      <c r="F1172" s="3">
        <f>-</f>
      </c>
      <c r="G1172" s="3">
        <f>-</f>
      </c>
      <c r="H1172" s="3">
        <f>=ROUND((1000/((1000/E1172) + (1000/f1172))),2)</f>
      </c>
      <c r="I1172" s="3">
        <f>=ROUND((1000/((1000/E1172) + (1000/G1172))),2)</f>
      </c>
      <c r="J1172" s="3">
        <f>=ROUND((1000/((1000/F1172) + (1000/G1172))),2)</f>
      </c>
    </row>
    <row r="1173">
      <c r="A1173" s="2" t="str">
        <v>02/05 ПН</v>
      </c>
      <c r="B1173" s="2" t="str">
        <v>18:00</v>
      </c>
      <c r="C1173" s="2" t="str">
        <v>АНГЛИЯ АНГЛИЯ</v>
      </c>
      <c r="D1173" s="2" t="str">
        <v>Оксфорд Сити-Ст. Албанс</v>
      </c>
      <c r="E1173" s="3">
        <f>-</f>
      </c>
      <c r="F1173" s="3">
        <f>-</f>
      </c>
      <c r="G1173" s="3">
        <f>-</f>
      </c>
      <c r="H1173" s="3">
        <f>=ROUND((1000/((1000/E1173) + (1000/f1173))),2)</f>
      </c>
      <c r="I1173" s="3">
        <f>=ROUND((1000/((1000/E1173) + (1000/G1173))),2)</f>
      </c>
      <c r="J1173" s="3">
        <f>=ROUND((1000/((1000/F1173) + (1000/G1173))),2)</f>
      </c>
    </row>
    <row r="1174">
      <c r="A1174" s="2" t="str">
        <v>02/05 ПН</v>
      </c>
      <c r="B1174" s="2" t="str">
        <v>18:00</v>
      </c>
      <c r="C1174" s="2" t="str">
        <v>АНГЛИЯ АНГЛИЯ</v>
      </c>
      <c r="D1174" s="2" t="str">
        <v>Тонбридж-Истборн Боро</v>
      </c>
      <c r="E1174" s="3">
        <f>-</f>
      </c>
      <c r="F1174" s="3">
        <f>-</f>
      </c>
      <c r="G1174" s="3">
        <f>-</f>
      </c>
      <c r="H1174" s="3">
        <f>=ROUND((1000/((1000/E1174) + (1000/f1174))),2)</f>
      </c>
      <c r="I1174" s="3">
        <f>=ROUND((1000/((1000/E1174) + (1000/G1174))),2)</f>
      </c>
      <c r="J1174" s="3">
        <f>=ROUND((1000/((1000/F1174) + (1000/G1174))),2)</f>
      </c>
    </row>
    <row r="1175">
      <c r="A1175" s="2" t="str">
        <v>02/05 ПН</v>
      </c>
      <c r="B1175" s="2" t="str">
        <v>18:00</v>
      </c>
      <c r="C1175" s="2" t="str">
        <v>АНГЛИЯ АНГЛИЯ</v>
      </c>
      <c r="D1175" s="2" t="str">
        <v>Уэллинг-Мэйдстоун</v>
      </c>
      <c r="E1175" s="3">
        <f>-</f>
      </c>
      <c r="F1175" s="3">
        <f>-</f>
      </c>
      <c r="G1175" s="3">
        <f>-</f>
      </c>
      <c r="H1175" s="3">
        <f>=ROUND((1000/((1000/E1175) + (1000/f1175))),2)</f>
      </c>
      <c r="I1175" s="3">
        <f>=ROUND((1000/((1000/E1175) + (1000/G1175))),2)</f>
      </c>
      <c r="J1175" s="3">
        <f>=ROUND((1000/((1000/F1175) + (1000/G1175))),2)</f>
      </c>
    </row>
    <row r="1176">
      <c r="A1176" s="2" t="str">
        <v>02/05 ПН</v>
      </c>
      <c r="B1176" s="2" t="str">
        <v>18:00</v>
      </c>
      <c r="C1176" s="2" t="str">
        <v>АНГЛИЯ АНГЛИЯ</v>
      </c>
      <c r="D1176" s="2" t="str">
        <v>Хемел Хэмпстед-Хавант энд В</v>
      </c>
      <c r="E1176" s="3">
        <f>-</f>
      </c>
      <c r="F1176" s="3">
        <f>-</f>
      </c>
      <c r="G1176" s="3">
        <f>-</f>
      </c>
      <c r="H1176" s="3">
        <f>=ROUND((1000/((1000/E1176) + (1000/f1176))),2)</f>
      </c>
      <c r="I1176" s="3">
        <f>=ROUND((1000/((1000/E1176) + (1000/G1176))),2)</f>
      </c>
      <c r="J1176" s="3">
        <f>=ROUND((1000/((1000/F1176) + (1000/G1176))),2)</f>
      </c>
    </row>
    <row r="1177">
      <c r="A1177" s="2" t="str">
        <v>02/05 ПН</v>
      </c>
      <c r="B1177" s="2" t="str">
        <v>18:00</v>
      </c>
      <c r="C1177" s="2" t="str">
        <v>АНГЛИЯ АНГЛИЯ</v>
      </c>
      <c r="D1177" s="2" t="str">
        <v>Хэмптон энд Ричмонд-Слау</v>
      </c>
      <c r="E1177" s="3">
        <f>-</f>
      </c>
      <c r="F1177" s="3">
        <f>-</f>
      </c>
      <c r="G1177" s="3">
        <f>-</f>
      </c>
      <c r="H1177" s="3">
        <f>=ROUND((1000/((1000/E1177) + (1000/f1177))),2)</f>
      </c>
      <c r="I1177" s="3">
        <f>=ROUND((1000/((1000/E1177) + (1000/G1177))),2)</f>
      </c>
      <c r="J1177" s="3">
        <f>=ROUND((1000/((1000/F1177) + (1000/G1177))),2)</f>
      </c>
    </row>
    <row r="1178">
      <c r="A1178" s="2" t="str">
        <v>02/05 ПН</v>
      </c>
      <c r="B1178" s="2" t="str">
        <v>18:00</v>
      </c>
      <c r="C1178" s="2" t="str">
        <v>АНГЛИЯ АНГЛИЯ</v>
      </c>
      <c r="D1178" s="2" t="str">
        <v>Чиппенхэм-Хангерфорд</v>
      </c>
      <c r="E1178" s="3">
        <f>-</f>
      </c>
      <c r="F1178" s="3">
        <f>-</f>
      </c>
      <c r="G1178" s="3">
        <f>-</f>
      </c>
      <c r="H1178" s="3">
        <f>=ROUND((1000/((1000/E1178) + (1000/f1178))),2)</f>
      </c>
      <c r="I1178" s="3">
        <f>=ROUND((1000/((1000/E1178) + (1000/G1178))),2)</f>
      </c>
      <c r="J1178" s="3">
        <f>=ROUND((1000/((1000/F1178) + (1000/G1178))),2)</f>
      </c>
    </row>
    <row r="1179">
      <c r="A1179" s="2" t="str">
        <v>02/05 ПН</v>
      </c>
      <c r="B1179" s="2" t="str">
        <v>18:00</v>
      </c>
      <c r="C1179" s="2" t="str">
        <v>АНГЛИЯ АНГЛИЯ</v>
      </c>
      <c r="D1179" s="2" t="str">
        <v>Скарборо-Уоррингтон</v>
      </c>
      <c r="E1179" s="3">
        <f>-</f>
      </c>
      <c r="F1179" s="3">
        <f>-</f>
      </c>
      <c r="G1179" s="3">
        <f>-</f>
      </c>
      <c r="H1179" s="3">
        <f>=ROUND((1000/((1000/E1179) + (1000/f1179))),2)</f>
      </c>
      <c r="I1179" s="3">
        <f>=ROUND((1000/((1000/E1179) + (1000/G1179))),2)</f>
      </c>
      <c r="J1179" s="3">
        <f>=ROUND((1000/((1000/F1179) + (1000/G1179))),2)</f>
      </c>
    </row>
    <row r="1180">
      <c r="A1180" s="2" t="str">
        <v>02/05 ПН</v>
      </c>
      <c r="B1180" s="2" t="str">
        <v>18:00</v>
      </c>
      <c r="C1180" s="2" t="str">
        <v>АНГЛИЯ АНГЛИЯ</v>
      </c>
      <c r="D1180" s="2" t="str">
        <v>Питерборо Спортс-Коалвилль</v>
      </c>
      <c r="E1180" s="3">
        <f>-</f>
      </c>
      <c r="F1180" s="3">
        <f>-</f>
      </c>
      <c r="G1180" s="3">
        <f>-</f>
      </c>
      <c r="H1180" s="3">
        <f>=ROUND((1000/((1000/E1180) + (1000/f1180))),2)</f>
      </c>
      <c r="I1180" s="3">
        <f>=ROUND((1000/((1000/E1180) + (1000/G1180))),2)</f>
      </c>
      <c r="J1180" s="3">
        <f>=ROUND((1000/((1000/F1180) + (1000/G1180))),2)</f>
      </c>
    </row>
    <row r="1181">
      <c r="A1181" s="2" t="str">
        <v>02/05 ПН</v>
      </c>
      <c r="B1181" s="2" t="str">
        <v>18:00</v>
      </c>
      <c r="C1181" s="2" t="str">
        <v>АНГЛИЯ АНГЛИЯ</v>
      </c>
      <c r="D1181" s="2" t="str">
        <v>Хайес энд Йидинг-Фарнборо</v>
      </c>
      <c r="E1181" s="3">
        <f>-</f>
      </c>
      <c r="F1181" s="3">
        <f>-</f>
      </c>
      <c r="G1181" s="3">
        <f>-</f>
      </c>
      <c r="H1181" s="3">
        <f>=ROUND((1000/((1000/E1181) + (1000/f1181))),2)</f>
      </c>
      <c r="I1181" s="3">
        <f>=ROUND((1000/((1000/E1181) + (1000/G1181))),2)</f>
      </c>
      <c r="J1181" s="3">
        <f>=ROUND((1000/((1000/F1181) + (1000/G1181))),2)</f>
      </c>
    </row>
    <row r="1182">
      <c r="A1182" s="2" t="str">
        <v>02/05 ПН</v>
      </c>
      <c r="B1182" s="2" t="str">
        <v>18:00</v>
      </c>
      <c r="C1182" s="2" t="str">
        <v>АНГЛИЯ АНГЛИЯ</v>
      </c>
      <c r="D1182" s="2" t="str">
        <v>Хорнчерч-Чешант</v>
      </c>
      <c r="E1182" s="3">
        <f>-</f>
      </c>
      <c r="F1182" s="3">
        <f>-</f>
      </c>
      <c r="G1182" s="3">
        <f>-</f>
      </c>
      <c r="H1182" s="3">
        <f>=ROUND((1000/((1000/E1182) + (1000/f1182))),2)</f>
      </c>
      <c r="I1182" s="3">
        <f>=ROUND((1000/((1000/E1182) + (1000/G1182))),2)</f>
      </c>
      <c r="J1182" s="3">
        <f>=ROUND((1000/((1000/F1182) + (1000/G1182))),2)</f>
      </c>
    </row>
    <row r="1183">
      <c r="A1183" s="2" t="str">
        <v>02/05 ПН</v>
      </c>
      <c r="B1183" s="2" t="str">
        <v>15:30</v>
      </c>
      <c r="C1183" s="2" t="str">
        <v>АНГЛИЯ АНГЛИЯ</v>
      </c>
      <c r="D1183" s="2" t="str">
        <v>Астон Вилла U23-Ньюкасл Юнайтед U23</v>
      </c>
      <c r="E1183" s="3">
        <f>-</f>
      </c>
      <c r="F1183" s="3">
        <f>-</f>
      </c>
      <c r="G1183" s="3">
        <f>-</f>
      </c>
      <c r="H1183" s="3">
        <f>=ROUND((1000/((1000/E1183) + (1000/f1183))),2)</f>
      </c>
      <c r="I1183" s="3">
        <f>=ROUND((1000/((1000/E1183) + (1000/G1183))),2)</f>
      </c>
      <c r="J1183" s="3">
        <f>=ROUND((1000/((1000/F1183) + (1000/G1183))),2)</f>
      </c>
    </row>
    <row r="1184">
      <c r="A1184" s="2" t="str">
        <v>02/05 ПН</v>
      </c>
      <c r="B1184" s="2" t="str">
        <v>16:00</v>
      </c>
      <c r="C1184" s="2" t="str">
        <v>АНГЛИЯ АНГЛИЯ</v>
      </c>
      <c r="D1184" s="2" t="str">
        <v>Тоттенхэм U23-Брайтон U23</v>
      </c>
      <c r="E1184" s="3">
        <f>-</f>
      </c>
      <c r="F1184" s="3">
        <f>-</f>
      </c>
      <c r="G1184" s="3">
        <f>-</f>
      </c>
      <c r="H1184" s="3">
        <f>=ROUND((1000/((1000/E1184) + (1000/f1184))),2)</f>
      </c>
      <c r="I1184" s="3">
        <f>=ROUND((1000/((1000/E1184) + (1000/G1184))),2)</f>
      </c>
      <c r="J1184" s="3">
        <f>=ROUND((1000/((1000/F1184) + (1000/G1184))),2)</f>
      </c>
    </row>
    <row r="1185">
      <c r="A1185" s="2" t="str">
        <v>02/05 ПН</v>
      </c>
      <c r="B1185" s="2" t="str">
        <v>19:00</v>
      </c>
      <c r="C1185" s="2" t="str">
        <v>АНГЛИЯ АНГЛИЯ</v>
      </c>
      <c r="D1185" s="2" t="str">
        <v>Кристал Пэлас U23-Лестер U23</v>
      </c>
      <c r="E1185" s="3">
        <f>-</f>
      </c>
      <c r="F1185" s="3">
        <f>-</f>
      </c>
      <c r="G1185" s="3">
        <f>-</f>
      </c>
      <c r="H1185" s="3">
        <f>=ROUND((1000/((1000/E1185) + (1000/f1185))),2)</f>
      </c>
      <c r="I1185" s="3">
        <f>=ROUND((1000/((1000/E1185) + (1000/G1185))),2)</f>
      </c>
      <c r="J1185" s="3">
        <f>=ROUND((1000/((1000/F1185) + (1000/G1185))),2)</f>
      </c>
    </row>
    <row r="1186">
      <c r="A1186" s="2" t="str">
        <v>02/05 ПН</v>
      </c>
      <c r="B1186" s="2" t="str">
        <v>22:00</v>
      </c>
      <c r="C1186" s="2" t="str">
        <v>АНГЛИЯ АНГЛИЯ</v>
      </c>
      <c r="D1186" s="2" t="str">
        <v>Вест Хэм U23-Дерби Каунти U23</v>
      </c>
      <c r="E1186" s="3">
        <f>-</f>
      </c>
      <c r="F1186" s="3">
        <f>-</f>
      </c>
      <c r="G1186" s="3">
        <f>-</f>
      </c>
      <c r="H1186" s="3">
        <f>=ROUND((1000/((1000/E1186) + (1000/f1186))),2)</f>
      </c>
      <c r="I1186" s="3">
        <f>=ROUND((1000/((1000/E1186) + (1000/G1186))),2)</f>
      </c>
      <c r="J1186" s="3">
        <f>=ROUND((1000/((1000/F1186) + (1000/G1186))),2)</f>
      </c>
    </row>
    <row r="1187">
      <c r="A1187" s="2" t="str">
        <v>02/05 ПН</v>
      </c>
      <c r="B1187" s="2" t="str">
        <v>17:00</v>
      </c>
      <c r="C1187" s="2" t="str">
        <v>АНГЛИЯ АНГЛИЯ</v>
      </c>
      <c r="D1187" s="2" t="str">
        <v>Чарльтон U23-Халл Сити U23</v>
      </c>
      <c r="E1187" s="3">
        <f>-</f>
      </c>
      <c r="F1187" s="3">
        <f>-</f>
      </c>
      <c r="G1187" s="3">
        <f>-</f>
      </c>
      <c r="H1187" s="3">
        <f>=ROUND((1000/((1000/E1187) + (1000/f1187))),2)</f>
      </c>
      <c r="I1187" s="3">
        <f>=ROUND((1000/((1000/E1187) + (1000/G1187))),2)</f>
      </c>
      <c r="J1187" s="3">
        <f>=ROUND((1000/((1000/F1187) + (1000/G1187))),2)</f>
      </c>
    </row>
    <row r="1188">
      <c r="A1188" s="2" t="str">
        <v>02/05 ПН</v>
      </c>
      <c r="B1188" s="2" t="str">
        <v>22:05</v>
      </c>
      <c r="C1188" s="2" t="str">
        <v>АРГЕНТИНА АРГЕНТИНА</v>
      </c>
      <c r="D1188" s="2" t="str">
        <v>Сакачиспас-Сан-Мартин Тукуман</v>
      </c>
      <c r="E1188" s="3">
        <f>4.33</f>
      </c>
      <c r="F1188" s="3">
        <f>3.20</f>
      </c>
      <c r="G1188" s="3">
        <f>1.95</f>
      </c>
      <c r="H1188" s="3">
        <f>=ROUND((1000/((1000/E1188) + (1000/f1188))),2)</f>
      </c>
      <c r="I1188" s="3">
        <f>=ROUND((1000/((1000/E1188) + (1000/G1188))),2)</f>
      </c>
      <c r="J1188" s="3">
        <f>=ROUND((1000/((1000/F1188) + (1000/G1188))),2)</f>
      </c>
    </row>
    <row r="1189">
      <c r="A1189" s="2" t="str">
        <v>02/05 ПН</v>
      </c>
      <c r="B1189" s="2" t="str">
        <v>23:00</v>
      </c>
      <c r="C1189" s="2" t="str">
        <v>АРГЕНТИНА АРГЕНТИНА</v>
      </c>
      <c r="D1189" s="2" t="str">
        <v>Депортиво Майпу-Атлетико Рафаэла</v>
      </c>
      <c r="E1189" s="3">
        <f>1.95</f>
      </c>
      <c r="F1189" s="3">
        <f>2.75</f>
      </c>
      <c r="G1189" s="3">
        <f>4.20</f>
      </c>
      <c r="H1189" s="3">
        <f>=ROUND((1000/((1000/E1189) + (1000/f1189))),2)</f>
      </c>
      <c r="I1189" s="3">
        <f>=ROUND((1000/((1000/E1189) + (1000/G1189))),2)</f>
      </c>
      <c r="J1189" s="3">
        <f>=ROUND((1000/((1000/F1189) + (1000/G1189))),2)</f>
      </c>
    </row>
    <row r="1190">
      <c r="A1190" s="2" t="str">
        <v>02/05 ПН</v>
      </c>
      <c r="B1190" s="2" t="str">
        <v>23:30</v>
      </c>
      <c r="C1190" s="2" t="str">
        <v>АРГЕНТИНА АРГЕНТИНА</v>
      </c>
      <c r="D1190" s="2" t="str">
        <v>Клуб Атлетико Митре-Дефенсорес де Бельграно</v>
      </c>
      <c r="E1190" s="3">
        <f>2.10</f>
      </c>
      <c r="F1190" s="3">
        <f>3.10</f>
      </c>
      <c r="G1190" s="3">
        <f>4.00</f>
      </c>
      <c r="H1190" s="3">
        <f>=ROUND((1000/((1000/E1190) + (1000/f1190))),2)</f>
      </c>
      <c r="I1190" s="3">
        <f>=ROUND((1000/((1000/E1190) + (1000/G1190))),2)</f>
      </c>
      <c r="J1190" s="3">
        <f>=ROUND((1000/((1000/F1190) + (1000/G1190))),2)</f>
      </c>
    </row>
    <row r="1191">
      <c r="A1191" s="2" t="str">
        <v>02/05 ПН</v>
      </c>
      <c r="B1191" s="2" t="str">
        <v>22:30</v>
      </c>
      <c r="C1191" s="2" t="str">
        <v>АРГЕНТИНА АРГЕНТИНА</v>
      </c>
      <c r="D1191" s="2" t="str">
        <v>Сан-Мигель-Архентино де Кильмес</v>
      </c>
      <c r="E1191" s="3">
        <f>-</f>
      </c>
      <c r="F1191" s="3">
        <f>-</f>
      </c>
      <c r="G1191" s="3">
        <f>-</f>
      </c>
      <c r="H1191" s="3">
        <f>=ROUND((1000/((1000/E1191) + (1000/f1191))),2)</f>
      </c>
      <c r="I1191" s="3">
        <f>=ROUND((1000/((1000/E1191) + (1000/G1191))),2)</f>
      </c>
      <c r="J1191" s="3">
        <f>=ROUND((1000/((1000/F1191) + (1000/G1191))),2)</f>
      </c>
    </row>
    <row r="1192">
      <c r="A1192" s="2" t="str">
        <v>02/05 ПН</v>
      </c>
      <c r="B1192" s="2" t="str">
        <v>22:30</v>
      </c>
      <c r="C1192" s="2" t="str">
        <v>АРГЕНТИНА АРГЕНТИНА</v>
      </c>
      <c r="D1192" s="2" t="str">
        <v>Феникс-Хусто Хосе де Уркиса</v>
      </c>
      <c r="E1192" s="3">
        <f>-</f>
      </c>
      <c r="F1192" s="3">
        <f>-</f>
      </c>
      <c r="G1192" s="3">
        <f>-</f>
      </c>
      <c r="H1192" s="3">
        <f>=ROUND((1000/((1000/E1192) + (1000/f1192))),2)</f>
      </c>
      <c r="I1192" s="3">
        <f>=ROUND((1000/((1000/E1192) + (1000/G1192))),2)</f>
      </c>
      <c r="J1192" s="3">
        <f>=ROUND((1000/((1000/F1192) + (1000/G1192))),2)</f>
      </c>
    </row>
    <row r="1193">
      <c r="A1193" s="2" t="str">
        <v>02/05 ПН</v>
      </c>
      <c r="B1193" s="2" t="str">
        <v>22:30</v>
      </c>
      <c r="C1193" s="2" t="str">
        <v>АРГЕНТИНА АРГЕНТИНА</v>
      </c>
      <c r="D1193" s="2" t="str">
        <v>Атлас-Лаферрере</v>
      </c>
      <c r="E1193" s="3">
        <f>-</f>
      </c>
      <c r="F1193" s="3">
        <f>-</f>
      </c>
      <c r="G1193" s="3">
        <f>-</f>
      </c>
      <c r="H1193" s="3">
        <f>=ROUND((1000/((1000/E1193) + (1000/f1193))),2)</f>
      </c>
      <c r="I1193" s="3">
        <f>=ROUND((1000/((1000/E1193) + (1000/G1193))),2)</f>
      </c>
      <c r="J1193" s="3">
        <f>=ROUND((1000/((1000/F1193) + (1000/G1193))),2)</f>
      </c>
    </row>
    <row r="1194">
      <c r="A1194" s="2" t="str">
        <v>02/05 ПН</v>
      </c>
      <c r="B1194" s="2" t="str">
        <v>22:30</v>
      </c>
      <c r="C1194" s="2" t="str">
        <v>АРГЕНТИНА АРГЕНТИНА</v>
      </c>
      <c r="D1194" s="2" t="str">
        <v>Клайполе-Клуб Лухан</v>
      </c>
      <c r="E1194" s="3">
        <f>-</f>
      </c>
      <c r="F1194" s="3">
        <f>-</f>
      </c>
      <c r="G1194" s="3">
        <f>-</f>
      </c>
      <c r="H1194" s="3">
        <f>=ROUND((1000/((1000/E1194) + (1000/f1194))),2)</f>
      </c>
      <c r="I1194" s="3">
        <f>=ROUND((1000/((1000/E1194) + (1000/G1194))),2)</f>
      </c>
      <c r="J1194" s="3">
        <f>=ROUND((1000/((1000/F1194) + (1000/G1194))),2)</f>
      </c>
    </row>
    <row r="1195">
      <c r="A1195" s="2" t="str">
        <v>02/05 ПН</v>
      </c>
      <c r="B1195" s="2" t="str">
        <v>22:30</v>
      </c>
      <c r="C1195" s="2" t="str">
        <v>АРГЕНТИНА АРГЕНТИНА</v>
      </c>
      <c r="D1195" s="2" t="str">
        <v>Леандро Н. Алем-Эль Порвенир</v>
      </c>
      <c r="E1195" s="3">
        <f>-</f>
      </c>
      <c r="F1195" s="3">
        <f>-</f>
      </c>
      <c r="G1195" s="3">
        <f>-</f>
      </c>
      <c r="H1195" s="3">
        <f>=ROUND((1000/((1000/E1195) + (1000/f1195))),2)</f>
      </c>
      <c r="I1195" s="3">
        <f>=ROUND((1000/((1000/E1195) + (1000/G1195))),2)</f>
      </c>
      <c r="J1195" s="3">
        <f>=ROUND((1000/((1000/F1195) + (1000/G1195))),2)</f>
      </c>
    </row>
    <row r="1196">
      <c r="A1196" s="2" t="str">
        <v>02/05 ПН</v>
      </c>
      <c r="B1196" s="2" t="str">
        <v>16:00</v>
      </c>
      <c r="C1196" s="2" t="str">
        <v>АРГЕНТИНА АРГЕНТИНА</v>
      </c>
      <c r="D1196" s="2" t="str">
        <v>Годой Крус 2-Сентраль Кордоба 2</v>
      </c>
      <c r="E1196" s="3">
        <f>-</f>
      </c>
      <c r="F1196" s="3">
        <f>-</f>
      </c>
      <c r="G1196" s="3">
        <f>-</f>
      </c>
      <c r="H1196" s="3">
        <f>=ROUND((1000/((1000/E1196) + (1000/f1196))),2)</f>
      </c>
      <c r="I1196" s="3">
        <f>=ROUND((1000/((1000/E1196) + (1000/G1196))),2)</f>
      </c>
      <c r="J1196" s="3">
        <f>=ROUND((1000/((1000/F1196) + (1000/G1196))),2)</f>
      </c>
    </row>
    <row r="1197">
      <c r="A1197" s="2" t="str">
        <v>02/05 ПН</v>
      </c>
      <c r="B1197" s="2" t="str">
        <v>16:00</v>
      </c>
      <c r="C1197" s="2" t="str">
        <v>АРГЕНТИНА АРГЕНТИНА</v>
      </c>
      <c r="D1197" s="2" t="str">
        <v>Расинг 2-Банфилд 2</v>
      </c>
      <c r="E1197" s="3">
        <f>-</f>
      </c>
      <c r="F1197" s="3">
        <f>-</f>
      </c>
      <c r="G1197" s="3">
        <f>-</f>
      </c>
      <c r="H1197" s="3">
        <f>=ROUND((1000/((1000/E1197) + (1000/f1197))),2)</f>
      </c>
      <c r="I1197" s="3">
        <f>=ROUND((1000/((1000/E1197) + (1000/G1197))),2)</f>
      </c>
      <c r="J1197" s="3">
        <f>=ROUND((1000/((1000/F1197) + (1000/G1197))),2)</f>
      </c>
    </row>
    <row r="1198">
      <c r="A1198" s="2" t="str">
        <v>02/05 ПН</v>
      </c>
      <c r="B1198" s="2" t="str">
        <v>18:00</v>
      </c>
      <c r="C1198" s="2" t="str">
        <v>АРГЕНТИНА АРГЕНТИНА</v>
      </c>
      <c r="D1198" s="2" t="str">
        <v>Платенсе 2-Аргентинос Хуниорс 2</v>
      </c>
      <c r="E1198" s="3">
        <f>-</f>
      </c>
      <c r="F1198" s="3">
        <f>-</f>
      </c>
      <c r="G1198" s="3">
        <f>-</f>
      </c>
      <c r="H1198" s="3">
        <f>=ROUND((1000/((1000/E1198) + (1000/f1198))),2)</f>
      </c>
      <c r="I1198" s="3">
        <f>=ROUND((1000/((1000/E1198) + (1000/G1198))),2)</f>
      </c>
      <c r="J1198" s="3">
        <f>=ROUND((1000/((1000/F1198) + (1000/G1198))),2)</f>
      </c>
    </row>
    <row r="1199">
      <c r="A1199" s="2" t="str">
        <v>02/05 ПН</v>
      </c>
      <c r="B1199" s="2" t="str">
        <v>18:00</v>
      </c>
      <c r="C1199" s="2" t="str">
        <v>АРГЕНТИНА АРГЕНТИНА</v>
      </c>
      <c r="D1199" s="2" t="str">
        <v>Комуникасьонес (Ж)-Эстудиантес (Ж)</v>
      </c>
      <c r="E1199" s="3">
        <f>-</f>
      </c>
      <c r="F1199" s="3">
        <f>-</f>
      </c>
      <c r="G1199" s="3">
        <f>-</f>
      </c>
      <c r="H1199" s="3">
        <f>=ROUND((1000/((1000/E1199) + (1000/f1199))),2)</f>
      </c>
      <c r="I1199" s="3">
        <f>=ROUND((1000/((1000/E1199) + (1000/G1199))),2)</f>
      </c>
      <c r="J1199" s="3">
        <f>=ROUND((1000/((1000/F1199) + (1000/G1199))),2)</f>
      </c>
    </row>
    <row r="1200">
      <c r="A1200" s="2" t="str">
        <v>02/05 ПН</v>
      </c>
      <c r="B1200" s="2" t="str">
        <v>19:50</v>
      </c>
      <c r="C1200" s="2" t="str">
        <v>АРГЕНТИНА АРГЕНТИНА</v>
      </c>
      <c r="D1200" s="2" t="str">
        <v>Сан-Лоренсо (Ж)-Эль Порвенир (Ж)</v>
      </c>
      <c r="E1200" s="3">
        <f>-</f>
      </c>
      <c r="F1200" s="3">
        <f>-</f>
      </c>
      <c r="G1200" s="3">
        <f>-</f>
      </c>
      <c r="H1200" s="3">
        <f>=ROUND((1000/((1000/E1200) + (1000/f1200))),2)</f>
      </c>
      <c r="I1200" s="3">
        <f>=ROUND((1000/((1000/E1200) + (1000/G1200))),2)</f>
      </c>
      <c r="J1200" s="3">
        <f>=ROUND((1000/((1000/F1200) + (1000/G1200))),2)</f>
      </c>
    </row>
    <row r="1201">
      <c r="A1201" s="2" t="str">
        <v>02/05 ПН</v>
      </c>
      <c r="B1201" s="2" t="str">
        <v>22:00</v>
      </c>
      <c r="C1201" s="2" t="str">
        <v>АРГЕНТИНА АРГЕНТИНА</v>
      </c>
      <c r="D1201" s="2" t="str">
        <v>Эстудиантес (Ж)-Ферро (Ж)</v>
      </c>
      <c r="E1201" s="3">
        <f>-</f>
      </c>
      <c r="F1201" s="3">
        <f>-</f>
      </c>
      <c r="G1201" s="3">
        <f>-</f>
      </c>
      <c r="H1201" s="3">
        <f>=ROUND((1000/((1000/E1201) + (1000/f1201))),2)</f>
      </c>
      <c r="I1201" s="3">
        <f>=ROUND((1000/((1000/E1201) + (1000/G1201))),2)</f>
      </c>
      <c r="J1201" s="3">
        <f>=ROUND((1000/((1000/F1201) + (1000/G1201))),2)</f>
      </c>
    </row>
    <row r="1202" xml:space="preserve">
      <c r="A1202" s="2" t="str">
        <v>02/05 ПН</v>
      </c>
      <c r="B1202" s="2" t="str" xml:space="preserve">
        <v xml:space="preserve">02:00_x000d_
TKP</v>
      </c>
      <c r="C1202" s="2" t="str">
        <v>АРУБА АРУБА</v>
      </c>
      <c r="D1202" s="2" t="str">
        <v>Бубали-Эстрелла</v>
      </c>
      <c r="E1202" s="3">
        <f>-</f>
      </c>
      <c r="F1202" s="3">
        <f>-</f>
      </c>
      <c r="G1202" s="3">
        <f>-</f>
      </c>
      <c r="H1202" s="3">
        <f>=ROUND((1000/((1000/E1202) + (1000/f1202))),2)</f>
      </c>
      <c r="I1202" s="3">
        <f>=ROUND((1000/((1000/E1202) + (1000/G1202))),2)</f>
      </c>
      <c r="J1202" s="3">
        <f>=ROUND((1000/((1000/F1202) + (1000/G1202))),2)</f>
      </c>
    </row>
    <row r="1203" xml:space="preserve">
      <c r="A1203" s="2" t="str">
        <v>02/05 ПН</v>
      </c>
      <c r="B1203" s="2" t="str" xml:space="preserve">
        <v xml:space="preserve">04:00_x000d_
TKP</v>
      </c>
      <c r="C1203" s="2" t="str">
        <v>АРУБА АРУБА</v>
      </c>
      <c r="D1203" s="2" t="str">
        <v>Каравел-Депортиво Насьональ</v>
      </c>
      <c r="E1203" s="3">
        <f>-</f>
      </c>
      <c r="F1203" s="3">
        <f>-</f>
      </c>
      <c r="G1203" s="3">
        <f>-</f>
      </c>
      <c r="H1203" s="3">
        <f>=ROUND((1000/((1000/E1203) + (1000/f1203))),2)</f>
      </c>
      <c r="I1203" s="3">
        <f>=ROUND((1000/((1000/E1203) + (1000/G1203))),2)</f>
      </c>
      <c r="J1203" s="3">
        <f>=ROUND((1000/((1000/F1203) + (1000/G1203))),2)</f>
      </c>
    </row>
    <row r="1204">
      <c r="A1204" s="2" t="str">
        <v>02/05 ПН</v>
      </c>
      <c r="B1204" s="2" t="str">
        <v>14:00</v>
      </c>
      <c r="C1204" s="2" t="str">
        <v>БЕЛАРУСЬ БЕЛАРУСЬ</v>
      </c>
      <c r="D1204" s="2" t="str">
        <v>Витебск-Днепр Могилев</v>
      </c>
      <c r="E1204" s="3">
        <f>-</f>
      </c>
      <c r="F1204" s="3">
        <f>-</f>
      </c>
      <c r="G1204" s="3">
        <f>-</f>
      </c>
      <c r="H1204" s="3">
        <f>=ROUND((1000/((1000/E1204) + (1000/f1204))),2)</f>
      </c>
      <c r="I1204" s="3">
        <f>=ROUND((1000/((1000/E1204) + (1000/G1204))),2)</f>
      </c>
      <c r="J1204" s="3">
        <f>=ROUND((1000/((1000/F1204) + (1000/G1204))),2)</f>
      </c>
    </row>
    <row r="1205">
      <c r="A1205" s="2" t="str">
        <v>02/05 ПН</v>
      </c>
      <c r="B1205" s="2" t="str">
        <v>16:00</v>
      </c>
      <c r="C1205" s="2" t="str">
        <v>БЕЛАРУСЬ БЕЛАРУСЬ</v>
      </c>
      <c r="D1205" s="2" t="str">
        <v>Неман-Энергетик-БГУ</v>
      </c>
      <c r="E1205" s="3">
        <f>-</f>
      </c>
      <c r="F1205" s="3">
        <f>-</f>
      </c>
      <c r="G1205" s="3">
        <f>-</f>
      </c>
      <c r="H1205" s="3">
        <f>=ROUND((1000/((1000/E1205) + (1000/f1205))),2)</f>
      </c>
      <c r="I1205" s="3">
        <f>=ROUND((1000/((1000/E1205) + (1000/G1205))),2)</f>
      </c>
      <c r="J1205" s="3">
        <f>=ROUND((1000/((1000/F1205) + (1000/G1205))),2)</f>
      </c>
    </row>
    <row r="1206">
      <c r="A1206" s="2" t="str">
        <v>02/05 ПН</v>
      </c>
      <c r="B1206" s="2" t="str">
        <v>18:00</v>
      </c>
      <c r="C1206" s="2" t="str">
        <v>БЕЛАРУСЬ БЕЛАРУСЬ</v>
      </c>
      <c r="D1206" s="2" t="str">
        <v>Шахтер Солигорск-Гомель</v>
      </c>
      <c r="E1206" s="3">
        <f>-</f>
      </c>
      <c r="F1206" s="3">
        <f>-</f>
      </c>
      <c r="G1206" s="3">
        <f>-</f>
      </c>
      <c r="H1206" s="3">
        <f>=ROUND((1000/((1000/E1206) + (1000/f1206))),2)</f>
      </c>
      <c r="I1206" s="3">
        <f>=ROUND((1000/((1000/E1206) + (1000/G1206))),2)</f>
      </c>
      <c r="J1206" s="3">
        <f>=ROUND((1000/((1000/F1206) + (1000/G1206))),2)</f>
      </c>
    </row>
    <row r="1207">
      <c r="A1207" s="2" t="str">
        <v>02/05 ПН</v>
      </c>
      <c r="B1207" s="2" t="str">
        <v>20:00</v>
      </c>
      <c r="C1207" s="2" t="str">
        <v>БЕЛАРУСЬ БЕЛАРУСЬ</v>
      </c>
      <c r="D1207" s="2" t="str">
        <v>Динамо Минск-БАТЭ</v>
      </c>
      <c r="E1207" s="3">
        <f>-</f>
      </c>
      <c r="F1207" s="3">
        <f>-</f>
      </c>
      <c r="G1207" s="3">
        <f>-</f>
      </c>
      <c r="H1207" s="3">
        <f>=ROUND((1000/((1000/E1207) + (1000/f1207))),2)</f>
      </c>
      <c r="I1207" s="3">
        <f>=ROUND((1000/((1000/E1207) + (1000/G1207))),2)</f>
      </c>
      <c r="J1207" s="3">
        <f>=ROUND((1000/((1000/F1207) + (1000/G1207))),2)</f>
      </c>
    </row>
    <row r="1208">
      <c r="A1208" s="2" t="str">
        <v>02/05 ПН</v>
      </c>
      <c r="B1208" s="2" t="str">
        <v>16:00</v>
      </c>
      <c r="C1208" s="2" t="str">
        <v>БЕЛАРУСЬ БЕЛАРУСЬ</v>
      </c>
      <c r="D1208" s="2" t="str">
        <v>Ислочь 2-Минск 2</v>
      </c>
      <c r="E1208" s="3">
        <f>-</f>
      </c>
      <c r="F1208" s="3">
        <f>-</f>
      </c>
      <c r="G1208" s="3">
        <f>-</f>
      </c>
      <c r="H1208" s="3">
        <f>=ROUND((1000/((1000/E1208) + (1000/f1208))),2)</f>
      </c>
      <c r="I1208" s="3">
        <f>=ROUND((1000/((1000/E1208) + (1000/G1208))),2)</f>
      </c>
      <c r="J1208" s="3">
        <f>=ROUND((1000/((1000/F1208) + (1000/G1208))),2)</f>
      </c>
    </row>
    <row r="1209">
      <c r="A1209" s="2" t="str">
        <v>02/05 ПН</v>
      </c>
      <c r="B1209" s="2" t="str">
        <v>16:30</v>
      </c>
      <c r="C1209" s="2" t="str">
        <v>БЕЛАРУСЬ БЕЛАРУСЬ</v>
      </c>
      <c r="D1209" s="2" t="str">
        <v>ФК Брест 2-Арсенал Дзержинск 2</v>
      </c>
      <c r="E1209" s="3">
        <f>-</f>
      </c>
      <c r="F1209" s="3">
        <f>-</f>
      </c>
      <c r="G1209" s="3">
        <f>-</f>
      </c>
      <c r="H1209" s="3">
        <f>=ROUND((1000/((1000/E1209) + (1000/f1209))),2)</f>
      </c>
      <c r="I1209" s="3">
        <f>=ROUND((1000/((1000/E1209) + (1000/G1209))),2)</f>
      </c>
      <c r="J1209" s="3">
        <f>=ROUND((1000/((1000/F1209) + (1000/G1209))),2)</f>
      </c>
    </row>
    <row r="1210">
      <c r="A1210" s="2" t="str">
        <v>02/05 ПН</v>
      </c>
      <c r="B1210" s="2" t="str">
        <v>21:30</v>
      </c>
      <c r="C1210" s="2" t="str">
        <v>БЕЛЬГИЯ БЕЛЬГИЯ</v>
      </c>
      <c r="D1210" s="2" t="str">
        <v>Васланд-Беверен U21-РВД Моленбек U21</v>
      </c>
      <c r="E1210" s="3">
        <f>-</f>
      </c>
      <c r="F1210" s="3">
        <f>-</f>
      </c>
      <c r="G1210" s="3">
        <f>-</f>
      </c>
      <c r="H1210" s="3">
        <f>=ROUND((1000/((1000/E1210) + (1000/f1210))),2)</f>
      </c>
      <c r="I1210" s="3">
        <f>=ROUND((1000/((1000/E1210) + (1000/G1210))),2)</f>
      </c>
      <c r="J1210" s="3">
        <f>=ROUND((1000/((1000/F1210) + (1000/G1210))),2)</f>
      </c>
    </row>
    <row r="1211">
      <c r="A1211" s="2" t="str">
        <v>02/05 ПН</v>
      </c>
      <c r="B1211" s="2" t="str">
        <v>21:30</v>
      </c>
      <c r="C1211" s="2" t="str">
        <v>БЕЛЬГИЯ БЕЛЬГИЯ</v>
      </c>
      <c r="D1211" s="2" t="str">
        <v>Генк U21-Брюгге U21</v>
      </c>
      <c r="E1211" s="3">
        <f>-</f>
      </c>
      <c r="F1211" s="3">
        <f>-</f>
      </c>
      <c r="G1211" s="3">
        <f>-</f>
      </c>
      <c r="H1211" s="3">
        <f>=ROUND((1000/((1000/E1211) + (1000/f1211))),2)</f>
      </c>
      <c r="I1211" s="3">
        <f>=ROUND((1000/((1000/E1211) + (1000/G1211))),2)</f>
      </c>
      <c r="J1211" s="3">
        <f>=ROUND((1000/((1000/F1211) + (1000/G1211))),2)</f>
      </c>
    </row>
    <row r="1212">
      <c r="A1212" s="2" t="str">
        <v>02/05 ПН</v>
      </c>
      <c r="B1212" s="2" t="str">
        <v>21:30</v>
      </c>
      <c r="C1212" s="2" t="str">
        <v>БЕЛЬГИЯ БЕЛЬГИЯ</v>
      </c>
      <c r="D1212" s="2" t="str">
        <v>Гент U21-Антверпен U21</v>
      </c>
      <c r="E1212" s="3">
        <f>-</f>
      </c>
      <c r="F1212" s="3">
        <f>-</f>
      </c>
      <c r="G1212" s="3">
        <f>-</f>
      </c>
      <c r="H1212" s="3">
        <f>=ROUND((1000/((1000/E1212) + (1000/f1212))),2)</f>
      </c>
      <c r="I1212" s="3">
        <f>=ROUND((1000/((1000/E1212) + (1000/G1212))),2)</f>
      </c>
      <c r="J1212" s="3">
        <f>=ROUND((1000/((1000/F1212) + (1000/G1212))),2)</f>
      </c>
    </row>
    <row r="1213">
      <c r="A1213" s="2" t="str">
        <v>02/05 ПН</v>
      </c>
      <c r="B1213" s="2" t="str">
        <v>21:30</v>
      </c>
      <c r="C1213" s="2" t="str">
        <v>БЕЛЬГИЯ БЕЛЬГИЯ</v>
      </c>
      <c r="D1213" s="2" t="str">
        <v>Кортрейк U21-Льерс U21</v>
      </c>
      <c r="E1213" s="3">
        <f>-</f>
      </c>
      <c r="F1213" s="3">
        <f>-</f>
      </c>
      <c r="G1213" s="3">
        <f>-</f>
      </c>
      <c r="H1213" s="3">
        <f>=ROUND((1000/((1000/E1213) + (1000/f1213))),2)</f>
      </c>
      <c r="I1213" s="3">
        <f>=ROUND((1000/((1000/E1213) + (1000/G1213))),2)</f>
      </c>
      <c r="J1213" s="3">
        <f>=ROUND((1000/((1000/F1213) + (1000/G1213))),2)</f>
      </c>
    </row>
    <row r="1214">
      <c r="A1214" s="2" t="str">
        <v>02/05 ПН</v>
      </c>
      <c r="B1214" s="2" t="str">
        <v>21:30</v>
      </c>
      <c r="C1214" s="2" t="str">
        <v>БЕЛЬГИЯ БЕЛЬГИЯ</v>
      </c>
      <c r="D1214" s="2" t="str">
        <v>Серкль Брюгге U21-Зюльте-Варегем U21</v>
      </c>
      <c r="E1214" s="3">
        <f>-</f>
      </c>
      <c r="F1214" s="3">
        <f>-</f>
      </c>
      <c r="G1214" s="3">
        <f>-</f>
      </c>
      <c r="H1214" s="3">
        <f>=ROUND((1000/((1000/E1214) + (1000/f1214))),2)</f>
      </c>
      <c r="I1214" s="3">
        <f>=ROUND((1000/((1000/E1214) + (1000/G1214))),2)</f>
      </c>
      <c r="J1214" s="3">
        <f>=ROUND((1000/((1000/F1214) + (1000/G1214))),2)</f>
      </c>
    </row>
    <row r="1215">
      <c r="A1215" s="2" t="str">
        <v>02/05 ПН</v>
      </c>
      <c r="B1215" s="2" t="str">
        <v>21:30</v>
      </c>
      <c r="C1215" s="2" t="str">
        <v>БЕЛЬГИЯ БЕЛЬГИЯ</v>
      </c>
      <c r="D1215" s="2" t="str">
        <v>Стандард U21-Шарлеруа U21</v>
      </c>
      <c r="E1215" s="3">
        <f>-</f>
      </c>
      <c r="F1215" s="3">
        <f>-</f>
      </c>
      <c r="G1215" s="3">
        <f>-</f>
      </c>
      <c r="H1215" s="3">
        <f>=ROUND((1000/((1000/E1215) + (1000/f1215))),2)</f>
      </c>
      <c r="I1215" s="3">
        <f>=ROUND((1000/((1000/E1215) + (1000/G1215))),2)</f>
      </c>
      <c r="J1215" s="3">
        <f>=ROUND((1000/((1000/F1215) + (1000/G1215))),2)</f>
      </c>
    </row>
    <row r="1216">
      <c r="A1216" s="2" t="str">
        <v>02/05 ПН</v>
      </c>
      <c r="B1216" s="2" t="str">
        <v>22:00</v>
      </c>
      <c r="C1216" s="2" t="str">
        <v>БЕЛЬГИЯ БЕЛЬГИЯ</v>
      </c>
      <c r="D1216" s="2" t="str">
        <v>Беерсхот U21-Эйпен U21</v>
      </c>
      <c r="E1216" s="3">
        <f>-</f>
      </c>
      <c r="F1216" s="3">
        <f>-</f>
      </c>
      <c r="G1216" s="3">
        <f>-</f>
      </c>
      <c r="H1216" s="3">
        <f>=ROUND((1000/((1000/E1216) + (1000/f1216))),2)</f>
      </c>
      <c r="I1216" s="3">
        <f>=ROUND((1000/((1000/E1216) + (1000/G1216))),2)</f>
      </c>
      <c r="J1216" s="3">
        <f>=ROUND((1000/((1000/F1216) + (1000/G1216))),2)</f>
      </c>
    </row>
    <row r="1217">
      <c r="A1217" s="2" t="str">
        <v>02/05 ПН</v>
      </c>
      <c r="B1217" s="2" t="str">
        <v>22:00</v>
      </c>
      <c r="C1217" s="2" t="str">
        <v>БЕЛЬГИЯ БЕЛЬГИЯ</v>
      </c>
      <c r="D1217" s="2" t="str">
        <v>Вестерло U21-Мускрон U21</v>
      </c>
      <c r="E1217" s="3">
        <f>-</f>
      </c>
      <c r="F1217" s="3">
        <f>-</f>
      </c>
      <c r="G1217" s="3">
        <f>-</f>
      </c>
      <c r="H1217" s="3">
        <f>=ROUND((1000/((1000/E1217) + (1000/f1217))),2)</f>
      </c>
      <c r="I1217" s="3">
        <f>=ROUND((1000/((1000/E1217) + (1000/G1217))),2)</f>
      </c>
      <c r="J1217" s="3">
        <f>=ROUND((1000/((1000/F1217) + (1000/G1217))),2)</f>
      </c>
    </row>
    <row r="1218">
      <c r="A1218" s="2" t="str">
        <v>02/05 ПН</v>
      </c>
      <c r="B1218" s="2" t="str">
        <v>22:00</v>
      </c>
      <c r="C1218" s="2" t="str">
        <v>БЕЛЬГИЯ БЕЛЬГИЯ</v>
      </c>
      <c r="D1218" s="2" t="str">
        <v>Ломмель U21-Серен U21</v>
      </c>
      <c r="E1218" s="3">
        <f>-</f>
      </c>
      <c r="F1218" s="3">
        <f>-</f>
      </c>
      <c r="G1218" s="3">
        <f>-</f>
      </c>
      <c r="H1218" s="3">
        <f>=ROUND((1000/((1000/E1218) + (1000/f1218))),2)</f>
      </c>
      <c r="I1218" s="3">
        <f>=ROUND((1000/((1000/E1218) + (1000/G1218))),2)</f>
      </c>
      <c r="J1218" s="3">
        <f>=ROUND((1000/((1000/F1218) + (1000/G1218))),2)</f>
      </c>
    </row>
    <row r="1219">
      <c r="A1219" s="2" t="str">
        <v>02/05 ПН</v>
      </c>
      <c r="B1219" s="2" t="str">
        <v>22:00</v>
      </c>
      <c r="C1219" s="2" t="str">
        <v>БЕЛЬГИЯ БЕЛЬГИЯ</v>
      </c>
      <c r="D1219" s="2" t="str">
        <v>Мехелен U21-Андерлехт U21</v>
      </c>
      <c r="E1219" s="3">
        <f>-</f>
      </c>
      <c r="F1219" s="3">
        <f>-</f>
      </c>
      <c r="G1219" s="3">
        <f>-</f>
      </c>
      <c r="H1219" s="3">
        <f>=ROUND((1000/((1000/E1219) + (1000/f1219))),2)</f>
      </c>
      <c r="I1219" s="3">
        <f>=ROUND((1000/((1000/E1219) + (1000/G1219))),2)</f>
      </c>
      <c r="J1219" s="3">
        <f>=ROUND((1000/((1000/F1219) + (1000/G1219))),2)</f>
      </c>
    </row>
    <row r="1220">
      <c r="A1220" s="2" t="str">
        <v>02/05 ПН</v>
      </c>
      <c r="B1220" s="2" t="str">
        <v>22:00</v>
      </c>
      <c r="C1220" s="2" t="str">
        <v>БЕЛЬГИЯ БЕЛЬГИЯ</v>
      </c>
      <c r="D1220" s="2" t="str">
        <v>Роял Юнион Сен-Жилуаз U21-Виртон U21</v>
      </c>
      <c r="E1220" s="3">
        <f>-</f>
      </c>
      <c r="F1220" s="3">
        <f>-</f>
      </c>
      <c r="G1220" s="3">
        <f>-</f>
      </c>
      <c r="H1220" s="3">
        <f>=ROUND((1000/((1000/E1220) + (1000/f1220))),2)</f>
      </c>
      <c r="I1220" s="3">
        <f>=ROUND((1000/((1000/E1220) + (1000/G1220))),2)</f>
      </c>
      <c r="J1220" s="3">
        <f>=ROUND((1000/((1000/F1220) + (1000/G1220))),2)</f>
      </c>
    </row>
    <row r="1221">
      <c r="A1221" s="2" t="str">
        <v>02/05 ПН</v>
      </c>
      <c r="B1221" s="2" t="str">
        <v>22:00</v>
      </c>
      <c r="C1221" s="2" t="str">
        <v>БЕЛЬГИЯ БЕЛЬГИЯ</v>
      </c>
      <c r="D1221" s="2" t="str">
        <v>Хеверли Лувен U21-Синт-Трёйден U21</v>
      </c>
      <c r="E1221" s="3">
        <f>-</f>
      </c>
      <c r="F1221" s="3">
        <f>-</f>
      </c>
      <c r="G1221" s="3">
        <f>-</f>
      </c>
      <c r="H1221" s="3">
        <f>=ROUND((1000/((1000/E1221) + (1000/f1221))),2)</f>
      </c>
      <c r="I1221" s="3">
        <f>=ROUND((1000/((1000/E1221) + (1000/G1221))),2)</f>
      </c>
      <c r="J1221" s="3">
        <f>=ROUND((1000/((1000/F1221) + (1000/G1221))),2)</f>
      </c>
    </row>
    <row r="1222">
      <c r="A1222" s="2" t="str">
        <v>02/05 ПН</v>
      </c>
      <c r="B1222" s="2" t="str">
        <v>18:30</v>
      </c>
      <c r="C1222" s="2" t="str">
        <v>БОЛГАРИЯ БОЛГАРИЯ</v>
      </c>
      <c r="D1222" s="2" t="str">
        <v>Ботев Враца-Пирин</v>
      </c>
      <c r="E1222" s="3">
        <f>3.60</f>
      </c>
      <c r="F1222" s="3">
        <f>3.20</f>
      </c>
      <c r="G1222" s="3">
        <f>2.15</f>
      </c>
      <c r="H1222" s="3">
        <f>=ROUND((1000/((1000/E1222) + (1000/f1222))),2)</f>
      </c>
      <c r="I1222" s="3">
        <f>=ROUND((1000/((1000/E1222) + (1000/G1222))),2)</f>
      </c>
      <c r="J1222" s="3">
        <f>=ROUND((1000/((1000/F1222) + (1000/G1222))),2)</f>
      </c>
    </row>
    <row r="1223">
      <c r="A1223" s="2" t="str">
        <v>02/05 ПН</v>
      </c>
      <c r="B1223" s="2" t="str">
        <v>21:00</v>
      </c>
      <c r="C1223" s="2" t="str">
        <v>БОЛГАРИЯ БОЛГАРИЯ</v>
      </c>
      <c r="D1223" s="2" t="str">
        <v>Локомотив София-Царско Село</v>
      </c>
      <c r="E1223" s="3">
        <f>1.90</f>
      </c>
      <c r="F1223" s="3">
        <f>3.20</f>
      </c>
      <c r="G1223" s="3">
        <f>4.50</f>
      </c>
      <c r="H1223" s="3">
        <f>=ROUND((1000/((1000/E1223) + (1000/f1223))),2)</f>
      </c>
      <c r="I1223" s="3">
        <f>=ROUND((1000/((1000/E1223) + (1000/G1223))),2)</f>
      </c>
      <c r="J1223" s="3">
        <f>=ROUND((1000/((1000/F1223) + (1000/G1223))),2)</f>
      </c>
    </row>
    <row r="1224">
      <c r="A1224" s="2" t="str">
        <v>02/05 ПН</v>
      </c>
      <c r="B1224" s="2" t="str">
        <v>04:00</v>
      </c>
      <c r="C1224" s="2" t="str">
        <v>БОЛИВИЯ БОЛИВИЯ</v>
      </c>
      <c r="D1224" s="2" t="str">
        <v>Ориенте Петролеро-Атлетико Пальмафлор</v>
      </c>
      <c r="E1224" s="3">
        <f>1.65</f>
      </c>
      <c r="F1224" s="3">
        <f>3.75</f>
      </c>
      <c r="G1224" s="3">
        <f>4.50</f>
      </c>
      <c r="H1224" s="3">
        <f>=ROUND((1000/((1000/E1224) + (1000/f1224))),2)</f>
      </c>
      <c r="I1224" s="3">
        <f>=ROUND((1000/((1000/E1224) + (1000/G1224))),2)</f>
      </c>
      <c r="J1224" s="3">
        <f>=ROUND((1000/((1000/F1224) + (1000/G1224))),2)</f>
      </c>
    </row>
    <row r="1225">
      <c r="A1225" s="2" t="str">
        <v>02/05 ПН</v>
      </c>
      <c r="B1225" s="2" t="str">
        <v>02:00</v>
      </c>
      <c r="C1225" s="2" t="str">
        <v>БРАЗИЛИЯ БРАЗИЛИЯ</v>
      </c>
      <c r="D1225" s="2" t="str">
        <v>Интернасьональ-Аваи</v>
      </c>
      <c r="E1225" s="3">
        <f>1.50</f>
      </c>
      <c r="F1225" s="3">
        <f>3.75</f>
      </c>
      <c r="G1225" s="3">
        <f>8.00</f>
      </c>
      <c r="H1225" s="3">
        <f>=ROUND((1000/((1000/E1225) + (1000/f1225))),2)</f>
      </c>
      <c r="I1225" s="3">
        <f>=ROUND((1000/((1000/E1225) + (1000/G1225))),2)</f>
      </c>
      <c r="J1225" s="3">
        <f>=ROUND((1000/((1000/F1225) + (1000/G1225))),2)</f>
      </c>
    </row>
    <row r="1226">
      <c r="A1226" s="2" t="str">
        <v>02/05 ПН</v>
      </c>
      <c r="B1226" s="2" t="str">
        <v>01:00</v>
      </c>
      <c r="C1226" s="2" t="str">
        <v>БРАЗИЛИЯ БРАЗИЛИЯ</v>
      </c>
      <c r="D1226" s="2" t="str">
        <v>Томбенсе-Васко да Гама</v>
      </c>
      <c r="E1226" s="3">
        <f>-</f>
      </c>
      <c r="F1226" s="3">
        <f>-</f>
      </c>
      <c r="G1226" s="3">
        <f>-</f>
      </c>
      <c r="H1226" s="3">
        <f>=ROUND((1000/((1000/E1226) + (1000/f1226))),2)</f>
      </c>
      <c r="I1226" s="3">
        <f>=ROUND((1000/((1000/E1226) + (1000/G1226))),2)</f>
      </c>
      <c r="J1226" s="3">
        <f>=ROUND((1000/((1000/F1226) + (1000/G1226))),2)</f>
      </c>
    </row>
    <row r="1227">
      <c r="A1227" s="2" t="str">
        <v>02/05 ПН</v>
      </c>
      <c r="B1227" s="2" t="str">
        <v>00:00</v>
      </c>
      <c r="C1227" s="2" t="str">
        <v>БРАЗИЛИЯ БРАЗИЛИЯ</v>
      </c>
      <c r="D1227" s="2" t="str">
        <v>Сан-Жозе-Бразил де Пелотас</v>
      </c>
      <c r="E1227" s="3">
        <f>-</f>
      </c>
      <c r="F1227" s="3">
        <f>-</f>
      </c>
      <c r="G1227" s="3">
        <f>-</f>
      </c>
      <c r="H1227" s="3">
        <f>=ROUND((1000/((1000/E1227) + (1000/f1227))),2)</f>
      </c>
      <c r="I1227" s="3">
        <f>=ROUND((1000/((1000/E1227) + (1000/G1227))),2)</f>
      </c>
      <c r="J1227" s="3">
        <f>=ROUND((1000/((1000/F1227) + (1000/G1227))),2)</f>
      </c>
    </row>
    <row r="1228">
      <c r="A1228" s="2" t="str">
        <v>02/05 ПН</v>
      </c>
      <c r="B1228" s="2" t="str">
        <v>02:00</v>
      </c>
      <c r="C1228" s="2" t="str">
        <v>БРАЗИЛИЯ БРАЗИЛИЯ</v>
      </c>
      <c r="D1228" s="2" t="str">
        <v>Конфьянса-Ремо</v>
      </c>
      <c r="E1228" s="3">
        <f>-</f>
      </c>
      <c r="F1228" s="3">
        <f>-</f>
      </c>
      <c r="G1228" s="3">
        <f>-</f>
      </c>
      <c r="H1228" s="3">
        <f>=ROUND((1000/((1000/E1228) + (1000/f1228))),2)</f>
      </c>
      <c r="I1228" s="3">
        <f>=ROUND((1000/((1000/E1228) + (1000/G1228))),2)</f>
      </c>
      <c r="J1228" s="3">
        <f>=ROUND((1000/((1000/F1228) + (1000/G1228))),2)</f>
      </c>
    </row>
    <row r="1229">
      <c r="A1229" s="2" t="str">
        <v>02/05 ПН</v>
      </c>
      <c r="B1229" s="2" t="str">
        <v>00:00</v>
      </c>
      <c r="C1229" s="2" t="str">
        <v>БРАЗИЛИЯ БРАЗИЛИЯ</v>
      </c>
      <c r="D1229" s="2" t="str">
        <v>Мото Клуб-Жувентуде</v>
      </c>
      <c r="E1229" s="3">
        <f>-</f>
      </c>
      <c r="F1229" s="3">
        <f>-</f>
      </c>
      <c r="G1229" s="3">
        <f>-</f>
      </c>
      <c r="H1229" s="3">
        <f>=ROUND((1000/((1000/E1229) + (1000/f1229))),2)</f>
      </c>
      <c r="I1229" s="3">
        <f>=ROUND((1000/((1000/E1229) + (1000/G1229))),2)</f>
      </c>
      <c r="J1229" s="3">
        <f>=ROUND((1000/((1000/F1229) + (1000/G1229))),2)</f>
      </c>
    </row>
    <row r="1230">
      <c r="A1230" s="2" t="str">
        <v>02/05 ПН</v>
      </c>
      <c r="B1230" s="2" t="str">
        <v>01:00</v>
      </c>
      <c r="C1230" s="2" t="str">
        <v>БРАЗИЛИЯ БРАЗИЛИЯ</v>
      </c>
      <c r="D1230" s="2" t="str">
        <v>Рио-Бранко-Умайта</v>
      </c>
      <c r="E1230" s="3">
        <f>-</f>
      </c>
      <c r="F1230" s="3">
        <f>-</f>
      </c>
      <c r="G1230" s="3">
        <f>-</f>
      </c>
      <c r="H1230" s="3">
        <f>=ROUND((1000/((1000/E1230) + (1000/f1230))),2)</f>
      </c>
      <c r="I1230" s="3">
        <f>=ROUND((1000/((1000/E1230) + (1000/G1230))),2)</f>
      </c>
      <c r="J1230" s="3">
        <f>=ROUND((1000/((1000/F1230) + (1000/G1230))),2)</f>
      </c>
    </row>
    <row r="1231">
      <c r="A1231" s="2" t="str">
        <v>02/05 ПН</v>
      </c>
      <c r="B1231" s="2" t="str">
        <v>02:00</v>
      </c>
      <c r="C1231" s="2" t="str">
        <v>БРАЗИЛИЯ БРАЗИЛИЯ</v>
      </c>
      <c r="D1231" s="2" t="str">
        <v>ЦСА-Крузейро Арапирака</v>
      </c>
      <c r="E1231" s="3">
        <f>-</f>
      </c>
      <c r="F1231" s="3">
        <f>-</f>
      </c>
      <c r="G1231" s="3">
        <f>-</f>
      </c>
      <c r="H1231" s="3">
        <f>=ROUND((1000/((1000/E1231) + (1000/f1231))),2)</f>
      </c>
      <c r="I1231" s="3">
        <f>=ROUND((1000/((1000/E1231) + (1000/G1231))),2)</f>
      </c>
      <c r="J1231" s="3">
        <f>=ROUND((1000/((1000/F1231) + (1000/G1231))),2)</f>
      </c>
    </row>
    <row r="1232" xml:space="preserve">
      <c r="A1232" s="2" t="str">
        <v>02/05 ПН</v>
      </c>
      <c r="B1232" s="2" t="str" xml:space="preserve">
        <v xml:space="preserve">00:30_x000d_
TKP</v>
      </c>
      <c r="C1232" s="2" t="str">
        <v>БРАЗИЛИЯ БРАЗИЛИЯ</v>
      </c>
      <c r="D1232" s="2" t="str">
        <v>Авенида-Интер Санта-Мария</v>
      </c>
      <c r="E1232" s="3">
        <f>-</f>
      </c>
      <c r="F1232" s="3">
        <f>-</f>
      </c>
      <c r="G1232" s="3">
        <f>-</f>
      </c>
      <c r="H1232" s="3">
        <f>=ROUND((1000/((1000/E1232) + (1000/f1232))),2)</f>
      </c>
      <c r="I1232" s="3">
        <f>=ROUND((1000/((1000/E1232) + (1000/G1232))),2)</f>
      </c>
      <c r="J1232" s="3">
        <f>=ROUND((1000/((1000/F1232) + (1000/G1232))),2)</f>
      </c>
    </row>
    <row r="1233">
      <c r="A1233" s="2" t="str">
        <v>02/05 ПН</v>
      </c>
      <c r="B1233" s="2" t="str">
        <v>01:00</v>
      </c>
      <c r="C1233" s="2" t="str">
        <v>БРАЗИЛИЯ БРАЗИЛИЯ</v>
      </c>
      <c r="D1233" s="2" t="str">
        <v>АЕ Алтос-Фламенго</v>
      </c>
      <c r="E1233" s="3">
        <f>10.00</f>
      </c>
      <c r="F1233" s="3">
        <f>5.00</f>
      </c>
      <c r="G1233" s="3">
        <f>1.25</f>
      </c>
      <c r="H1233" s="3">
        <f>=ROUND((1000/((1000/E1233) + (1000/f1233))),2)</f>
      </c>
      <c r="I1233" s="3">
        <f>=ROUND((1000/((1000/E1233) + (1000/G1233))),2)</f>
      </c>
      <c r="J1233" s="3">
        <f>=ROUND((1000/((1000/F1233) + (1000/G1233))),2)</f>
      </c>
    </row>
    <row r="1234">
      <c r="A1234" s="2" t="str">
        <v>02/05 ПН</v>
      </c>
      <c r="B1234" s="2" t="str">
        <v>01:00</v>
      </c>
      <c r="C1234" s="2" t="str">
        <v>БРАЗИЛИЯ БРАЗИЛИЯ</v>
      </c>
      <c r="D1234" s="2" t="str">
        <v>Крузейро (Ж)-Сан Хосе (Ж)</v>
      </c>
      <c r="E1234" s="3">
        <f>-</f>
      </c>
      <c r="F1234" s="3">
        <f>-</f>
      </c>
      <c r="G1234" s="3">
        <f>-</f>
      </c>
      <c r="H1234" s="3">
        <f>=ROUND((1000/((1000/E1234) + (1000/f1234))),2)</f>
      </c>
      <c r="I1234" s="3">
        <f>=ROUND((1000/((1000/E1234) + (1000/G1234))),2)</f>
      </c>
      <c r="J1234" s="3">
        <f>=ROUND((1000/((1000/F1234) + (1000/G1234))),2)</f>
      </c>
    </row>
    <row r="1235">
      <c r="A1235" s="2" t="str">
        <v>02/05 ПН</v>
      </c>
      <c r="B1235" s="2" t="str">
        <v>22:00</v>
      </c>
      <c r="C1235" s="2" t="str">
        <v>ВЕНГРИЯ ВЕНГРИЯ</v>
      </c>
      <c r="D1235" s="2" t="str">
        <v>Халадаш Сомбатхей-Вашаш</v>
      </c>
      <c r="E1235" s="3">
        <f>-</f>
      </c>
      <c r="F1235" s="3">
        <f>-</f>
      </c>
      <c r="G1235" s="3">
        <f>-</f>
      </c>
      <c r="H1235" s="3">
        <f>=ROUND((1000/((1000/E1235) + (1000/f1235))),2)</f>
      </c>
      <c r="I1235" s="3">
        <f>=ROUND((1000/((1000/E1235) + (1000/G1235))),2)</f>
      </c>
      <c r="J1235" s="3">
        <f>=ROUND((1000/((1000/F1235) + (1000/G1235))),2)</f>
      </c>
    </row>
    <row r="1236">
      <c r="A1236" s="2" t="str">
        <v>02/05 ПН</v>
      </c>
      <c r="B1236" s="2" t="str">
        <v>02:15</v>
      </c>
      <c r="C1236" s="2" t="str">
        <v>ВЕНЕСУЭЛА ВЕНЕСУЭЛА</v>
      </c>
      <c r="D1236" s="2" t="str">
        <v>Португеза-Метрополитанос</v>
      </c>
      <c r="E1236" s="3">
        <f>-</f>
      </c>
      <c r="F1236" s="3">
        <f>-</f>
      </c>
      <c r="G1236" s="3">
        <f>-</f>
      </c>
      <c r="H1236" s="3">
        <f>=ROUND((1000/((1000/E1236) + (1000/f1236))),2)</f>
      </c>
      <c r="I1236" s="3">
        <f>=ROUND((1000/((1000/E1236) + (1000/G1236))),2)</f>
      </c>
      <c r="J1236" s="3">
        <f>=ROUND((1000/((1000/F1236) + (1000/G1236))),2)</f>
      </c>
    </row>
    <row r="1237">
      <c r="A1237" s="2" t="str">
        <v>02/05 ПН</v>
      </c>
      <c r="B1237" s="2" t="str">
        <v>00:00</v>
      </c>
      <c r="C1237" s="2" t="str">
        <v>ВЕНЕСУЭЛА ВЕНЕСУЭЛА</v>
      </c>
      <c r="D1237" s="2" t="str">
        <v>Динамо Пуэрто-Deportivo Nueva Esparta</v>
      </c>
      <c r="E1237" s="3">
        <f>-</f>
      </c>
      <c r="F1237" s="3">
        <f>-</f>
      </c>
      <c r="G1237" s="3">
        <f>-</f>
      </c>
      <c r="H1237" s="3">
        <f>=ROUND((1000/((1000/E1237) + (1000/f1237))),2)</f>
      </c>
      <c r="I1237" s="3">
        <f>=ROUND((1000/((1000/E1237) + (1000/G1237))),2)</f>
      </c>
      <c r="J1237" s="3">
        <f>=ROUND((1000/((1000/F1237) + (1000/G1237))),2)</f>
      </c>
    </row>
    <row r="1238">
      <c r="A1238" s="2" t="str">
        <v>02/05 ПН</v>
      </c>
      <c r="B1238" s="2" t="str">
        <v>00:00</v>
      </c>
      <c r="C1238" s="2" t="str">
        <v>ВЕНЕСУЭЛА ВЕНЕСУЭЛА</v>
      </c>
      <c r="D1238" s="2" t="str">
        <v>Лланерос-Эль-Вигия</v>
      </c>
      <c r="E1238" s="3">
        <f>-</f>
      </c>
      <c r="F1238" s="3">
        <f>-</f>
      </c>
      <c r="G1238" s="3">
        <f>-</f>
      </c>
      <c r="H1238" s="3">
        <f>=ROUND((1000/((1000/E1238) + (1000/f1238))),2)</f>
      </c>
      <c r="I1238" s="3">
        <f>=ROUND((1000/((1000/E1238) + (1000/G1238))),2)</f>
      </c>
      <c r="J1238" s="3">
        <f>=ROUND((1000/((1000/F1238) + (1000/G1238))),2)</f>
      </c>
    </row>
    <row r="1239">
      <c r="A1239" s="2" t="str">
        <v>02/05 ПН</v>
      </c>
      <c r="B1239" s="2" t="str">
        <v>01:00</v>
      </c>
      <c r="C1239" s="2" t="str">
        <v>ВЕНЕСУЭЛА ВЕНЕСУЭЛА</v>
      </c>
      <c r="D1239" s="2" t="str">
        <v>Атлетико Ла Круз-Петаре</v>
      </c>
      <c r="E1239" s="3">
        <f>-</f>
      </c>
      <c r="F1239" s="3">
        <f>-</f>
      </c>
      <c r="G1239" s="3">
        <f>-</f>
      </c>
      <c r="H1239" s="3">
        <f>=ROUND((1000/((1000/E1239) + (1000/f1239))),2)</f>
      </c>
      <c r="I1239" s="3">
        <f>=ROUND((1000/((1000/E1239) + (1000/G1239))),2)</f>
      </c>
      <c r="J1239" s="3">
        <f>=ROUND((1000/((1000/F1239) + (1000/G1239))),2)</f>
      </c>
    </row>
    <row r="1240">
      <c r="A1240" s="2" t="str">
        <v>02/05 ПН</v>
      </c>
      <c r="B1240" s="2" t="str">
        <v>01:00</v>
      </c>
      <c r="C1240" s="2" t="str">
        <v>ВЕНЕСУЭЛА ВЕНЕСУЭЛА</v>
      </c>
      <c r="D1240" s="2" t="str">
        <v>Райо Зулиано-Унион Локаль Андина</v>
      </c>
      <c r="E1240" s="3">
        <f>-</f>
      </c>
      <c r="F1240" s="3">
        <f>-</f>
      </c>
      <c r="G1240" s="3">
        <f>-</f>
      </c>
      <c r="H1240" s="3">
        <f>=ROUND((1000/((1000/E1240) + (1000/f1240))),2)</f>
      </c>
      <c r="I1240" s="3">
        <f>=ROUND((1000/((1000/E1240) + (1000/G1240))),2)</f>
      </c>
      <c r="J1240" s="3">
        <f>=ROUND((1000/((1000/F1240) + (1000/G1240))),2)</f>
      </c>
    </row>
    <row r="1241">
      <c r="A1241" s="2" t="str">
        <v>02/05 ПН</v>
      </c>
      <c r="B1241" s="2" t="str">
        <v>01:00</v>
      </c>
      <c r="C1241" s="2" t="str">
        <v>ВЕНЕСУЭЛА ВЕНЕСУЭЛА</v>
      </c>
      <c r="D1241" s="2" t="str">
        <v>Фундасьон АИФИ-Яракуянос</v>
      </c>
      <c r="E1241" s="3">
        <f>-</f>
      </c>
      <c r="F1241" s="3">
        <f>-</f>
      </c>
      <c r="G1241" s="3">
        <f>-</f>
      </c>
      <c r="H1241" s="3">
        <f>=ROUND((1000/((1000/E1241) + (1000/f1241))),2)</f>
      </c>
      <c r="I1241" s="3">
        <f>=ROUND((1000/((1000/E1241) + (1000/G1241))),2)</f>
      </c>
      <c r="J1241" s="3">
        <f>=ROUND((1000/((1000/F1241) + (1000/G1241))),2)</f>
      </c>
    </row>
    <row r="1242">
      <c r="A1242" s="2" t="str">
        <v>02/05 ПН</v>
      </c>
      <c r="B1242" s="2" t="str">
        <v>19:00</v>
      </c>
      <c r="C1242" s="2" t="str">
        <v>ГАНА ГАНА</v>
      </c>
      <c r="D1242" s="2" t="str">
        <v>Адуана-Медеама</v>
      </c>
      <c r="E1242" s="3">
        <f>-</f>
      </c>
      <c r="F1242" s="3">
        <f>-</f>
      </c>
      <c r="G1242" s="3">
        <f>-</f>
      </c>
      <c r="H1242" s="3">
        <f>=ROUND((1000/((1000/E1242) + (1000/f1242))),2)</f>
      </c>
      <c r="I1242" s="3">
        <f>=ROUND((1000/((1000/E1242) + (1000/G1242))),2)</f>
      </c>
      <c r="J1242" s="3">
        <f>=ROUND((1000/((1000/F1242) + (1000/G1242))),2)</f>
      </c>
    </row>
    <row r="1243">
      <c r="A1243" s="2" t="str">
        <v>02/05 ПН</v>
      </c>
      <c r="B1243" s="2" t="str">
        <v>21:00</v>
      </c>
      <c r="C1243" s="2" t="str">
        <v>ГЕРМАНИЯ ГЕРМАНИЯ</v>
      </c>
      <c r="D1243" s="2" t="str">
        <v>Мангейм-Дуйсбург</v>
      </c>
      <c r="E1243" s="3">
        <f>1.66</f>
      </c>
      <c r="F1243" s="3">
        <f>3.50</f>
      </c>
      <c r="G1243" s="3">
        <f>4.50</f>
      </c>
      <c r="H1243" s="3">
        <f>=ROUND((1000/((1000/E1243) + (1000/f1243))),2)</f>
      </c>
      <c r="I1243" s="3">
        <f>=ROUND((1000/((1000/E1243) + (1000/G1243))),2)</f>
      </c>
      <c r="J1243" s="3">
        <f>=ROUND((1000/((1000/F1243) + (1000/G1243))),2)</f>
      </c>
    </row>
    <row r="1244">
      <c r="A1244" s="2" t="str">
        <v>02/05 ПН</v>
      </c>
      <c r="B1244" s="2" t="str">
        <v>20:30</v>
      </c>
      <c r="C1244" s="2" t="str">
        <v>ГРЕЦИЯ ГРЕЦИЯ</v>
      </c>
      <c r="D1244" s="2" t="str">
        <v>Астерас-Ламия</v>
      </c>
      <c r="E1244" s="3">
        <f>1.90</f>
      </c>
      <c r="F1244" s="3">
        <f>3.10</f>
      </c>
      <c r="G1244" s="3">
        <f>4.75</f>
      </c>
      <c r="H1244" s="3">
        <f>=ROUND((1000/((1000/E1244) + (1000/f1244))),2)</f>
      </c>
      <c r="I1244" s="3">
        <f>=ROUND((1000/((1000/E1244) + (1000/G1244))),2)</f>
      </c>
      <c r="J1244" s="3">
        <f>=ROUND((1000/((1000/F1244) + (1000/G1244))),2)</f>
      </c>
    </row>
    <row r="1245">
      <c r="A1245" s="2" t="str">
        <v>02/05 ПН</v>
      </c>
      <c r="B1245" s="2" t="str">
        <v>20:30</v>
      </c>
      <c r="C1245" s="2" t="str">
        <v>ГРЕЦИЯ ГРЕЦИЯ</v>
      </c>
      <c r="D1245" s="2" t="str">
        <v>Ионикос-Аполлон Смирнис</v>
      </c>
      <c r="E1245" s="3">
        <f>5.75</f>
      </c>
      <c r="F1245" s="3">
        <f>3.80</f>
      </c>
      <c r="G1245" s="3">
        <f>1.57</f>
      </c>
      <c r="H1245" s="3">
        <f>=ROUND((1000/((1000/E1245) + (1000/f1245))),2)</f>
      </c>
      <c r="I1245" s="3">
        <f>=ROUND((1000/((1000/E1245) + (1000/G1245))),2)</f>
      </c>
      <c r="J1245" s="3">
        <f>=ROUND((1000/((1000/F1245) + (1000/G1245))),2)</f>
      </c>
    </row>
    <row r="1246">
      <c r="A1246" s="2" t="str">
        <v>02/05 ПН</v>
      </c>
      <c r="B1246" s="2" t="str">
        <v>21:00</v>
      </c>
      <c r="C1246" s="2" t="str">
        <v>ДАНИЯ ДАНИЯ</v>
      </c>
      <c r="D1246" s="2" t="str">
        <v>Силькеборг-Ольборг</v>
      </c>
      <c r="E1246" s="3">
        <f>1.95</f>
      </c>
      <c r="F1246" s="3">
        <f>3.60</f>
      </c>
      <c r="G1246" s="3">
        <f>3.80</f>
      </c>
      <c r="H1246" s="3">
        <f>=ROUND((1000/((1000/E1246) + (1000/f1246))),2)</f>
      </c>
      <c r="I1246" s="3">
        <f>=ROUND((1000/((1000/E1246) + (1000/G1246))),2)</f>
      </c>
      <c r="J1246" s="3">
        <f>=ROUND((1000/((1000/F1246) + (1000/G1246))),2)</f>
      </c>
    </row>
    <row r="1247">
      <c r="A1247" s="2" t="str">
        <v>02/05 ПН</v>
      </c>
      <c r="B1247" s="2" t="str">
        <v>00:00</v>
      </c>
      <c r="C1247" s="2" t="str">
        <v>ДОМИНИКАНСКАЯ РЕСПУБЛИКА ДОМИНИКАНСКАЯ РЕСПУБЛИКА</v>
      </c>
      <c r="D1247" s="2" t="str">
        <v>Вега Реал-Moca</v>
      </c>
      <c r="E1247" s="3">
        <f>-</f>
      </c>
      <c r="F1247" s="3">
        <f>-</f>
      </c>
      <c r="G1247" s="3">
        <f>-</f>
      </c>
      <c r="H1247" s="3">
        <f>=ROUND((1000/((1000/E1247) + (1000/f1247))),2)</f>
      </c>
      <c r="I1247" s="3">
        <f>=ROUND((1000/((1000/E1247) + (1000/G1247))),2)</f>
      </c>
      <c r="J1247" s="3">
        <f>=ROUND((1000/((1000/F1247) + (1000/G1247))),2)</f>
      </c>
    </row>
    <row r="1248">
      <c r="A1248" s="2" t="str">
        <v>02/05 ПН</v>
      </c>
      <c r="B1248" s="2" t="str">
        <v>21:30</v>
      </c>
      <c r="C1248" s="2" t="str">
        <v>ИЗРАИЛЬ ИЗРАИЛЬ</v>
      </c>
      <c r="D1248" s="2" t="str">
        <v>Хапоэль Тель-Авив-Маккаби Хайфа</v>
      </c>
      <c r="E1248" s="3">
        <f>5.50</f>
      </c>
      <c r="F1248" s="3">
        <f>3.75</f>
      </c>
      <c r="G1248" s="3">
        <f>1.53</f>
      </c>
      <c r="H1248" s="3">
        <f>=ROUND((1000/((1000/E1248) + (1000/f1248))),2)</f>
      </c>
      <c r="I1248" s="3">
        <f>=ROUND((1000/((1000/E1248) + (1000/G1248))),2)</f>
      </c>
      <c r="J1248" s="3">
        <f>=ROUND((1000/((1000/F1248) + (1000/G1248))),2)</f>
      </c>
    </row>
    <row r="1249">
      <c r="A1249" s="2" t="str">
        <v>02/05 ПН</v>
      </c>
      <c r="B1249" s="2" t="str">
        <v>17:00</v>
      </c>
      <c r="C1249" s="2" t="str">
        <v>ИРЛАНДИЯ ИРЛАНДИЯ</v>
      </c>
      <c r="D1249" s="2" t="str">
        <v>Уотерфорд Юнайтед-Атлон</v>
      </c>
      <c r="E1249" s="3">
        <f>-</f>
      </c>
      <c r="F1249" s="3">
        <f>-</f>
      </c>
      <c r="G1249" s="3">
        <f>-</f>
      </c>
      <c r="H1249" s="3">
        <f>=ROUND((1000/((1000/E1249) + (1000/f1249))),2)</f>
      </c>
      <c r="I1249" s="3">
        <f>=ROUND((1000/((1000/E1249) + (1000/G1249))),2)</f>
      </c>
      <c r="J1249" s="3">
        <f>=ROUND((1000/((1000/F1249) + (1000/G1249))),2)</f>
      </c>
    </row>
    <row r="1250">
      <c r="A1250" s="2" t="str">
        <v>02/05 ПН</v>
      </c>
      <c r="B1250" s="2" t="str">
        <v>18:00</v>
      </c>
      <c r="C1250" s="2" t="str">
        <v>ИРЛАНДИЯ ИРЛАНДИЯ</v>
      </c>
      <c r="D1250" s="2" t="str">
        <v>Вексфорд-Брей Уондерерс</v>
      </c>
      <c r="E1250" s="3">
        <f>-</f>
      </c>
      <c r="F1250" s="3">
        <f>-</f>
      </c>
      <c r="G1250" s="3">
        <f>-</f>
      </c>
      <c r="H1250" s="3">
        <f>=ROUND((1000/((1000/E1250) + (1000/f1250))),2)</f>
      </c>
      <c r="I1250" s="3">
        <f>=ROUND((1000/((1000/E1250) + (1000/G1250))),2)</f>
      </c>
      <c r="J1250" s="3">
        <f>=ROUND((1000/((1000/F1250) + (1000/G1250))),2)</f>
      </c>
    </row>
    <row r="1251">
      <c r="A1251" s="2" t="str">
        <v>02/05 ПН</v>
      </c>
      <c r="B1251" s="2" t="str">
        <v>20:00</v>
      </c>
      <c r="C1251" s="2" t="str">
        <v>ИРЛАНДИЯ ИРЛАНДИЯ</v>
      </c>
      <c r="D1251" s="2" t="str">
        <v>Голуэй Юнайтед-Лонгфорд Таун</v>
      </c>
      <c r="E1251" s="3">
        <f>-</f>
      </c>
      <c r="F1251" s="3">
        <f>-</f>
      </c>
      <c r="G1251" s="3">
        <f>-</f>
      </c>
      <c r="H1251" s="3">
        <f>=ROUND((1000/((1000/E1251) + (1000/f1251))),2)</f>
      </c>
      <c r="I1251" s="3">
        <f>=ROUND((1000/((1000/E1251) + (1000/G1251))),2)</f>
      </c>
      <c r="J1251" s="3">
        <f>=ROUND((1000/((1000/F1251) + (1000/G1251))),2)</f>
      </c>
    </row>
    <row r="1252">
      <c r="A1252" s="2" t="str">
        <v>02/05 ПН</v>
      </c>
      <c r="B1252" s="2" t="str">
        <v>20:00</v>
      </c>
      <c r="C1252" s="2" t="str">
        <v>ИРЛАНДИЯ ИРЛАНДИЯ</v>
      </c>
      <c r="D1252" s="2" t="str">
        <v>Корк Сити-Трити Юнайтед</v>
      </c>
      <c r="E1252" s="3">
        <f>-</f>
      </c>
      <c r="F1252" s="3">
        <f>-</f>
      </c>
      <c r="G1252" s="3">
        <f>-</f>
      </c>
      <c r="H1252" s="3">
        <f>=ROUND((1000/((1000/E1252) + (1000/f1252))),2)</f>
      </c>
      <c r="I1252" s="3">
        <f>=ROUND((1000/((1000/E1252) + (1000/G1252))),2)</f>
      </c>
      <c r="J1252" s="3">
        <f>=ROUND((1000/((1000/F1252) + (1000/G1252))),2)</f>
      </c>
    </row>
    <row r="1253">
      <c r="A1253" s="2" t="str">
        <v>02/05 ПН</v>
      </c>
      <c r="B1253" s="2" t="str">
        <v>22:00</v>
      </c>
      <c r="C1253" s="2" t="str">
        <v>ИСЛАНДИЯ ИСЛАНДИЯ</v>
      </c>
      <c r="D1253" s="2" t="str">
        <v>Акурейри-Кеблавик</v>
      </c>
      <c r="E1253" s="3">
        <f>-</f>
      </c>
      <c r="F1253" s="3">
        <f>-</f>
      </c>
      <c r="G1253" s="3">
        <f>-</f>
      </c>
      <c r="H1253" s="3">
        <f>=ROUND((1000/((1000/E1253) + (1000/f1253))),2)</f>
      </c>
      <c r="I1253" s="3">
        <f>=ROUND((1000/((1000/E1253) + (1000/G1253))),2)</f>
      </c>
      <c r="J1253" s="3">
        <f>=ROUND((1000/((1000/F1253) + (1000/G1253))),2)</f>
      </c>
    </row>
    <row r="1254">
      <c r="A1254" s="2" t="str">
        <v>02/05 ПН</v>
      </c>
      <c r="B1254" s="2" t="str">
        <v>23:15</v>
      </c>
      <c r="C1254" s="2" t="str">
        <v>ИСЛАНДИЯ ИСЛАНДИЯ</v>
      </c>
      <c r="D1254" s="2" t="str">
        <v>Викингур Рейкьявик-Стьярнан</v>
      </c>
      <c r="E1254" s="3">
        <f>-</f>
      </c>
      <c r="F1254" s="3">
        <f>-</f>
      </c>
      <c r="G1254" s="3">
        <f>-</f>
      </c>
      <c r="H1254" s="3">
        <f>=ROUND((1000/((1000/E1254) + (1000/f1254))),2)</f>
      </c>
      <c r="I1254" s="3">
        <f>=ROUND((1000/((1000/E1254) + (1000/G1254))),2)</f>
      </c>
      <c r="J1254" s="3">
        <f>=ROUND((1000/((1000/F1254) + (1000/G1254))),2)</f>
      </c>
    </row>
    <row r="1255">
      <c r="A1255" s="2" t="str">
        <v>02/05 ПН</v>
      </c>
      <c r="B1255" s="2" t="str">
        <v>23:15</v>
      </c>
      <c r="C1255" s="2" t="str">
        <v>ИСЛАНДИЯ ИСЛАНДИЯ</v>
      </c>
      <c r="D1255" s="2" t="str">
        <v>Фрам-Акранес</v>
      </c>
      <c r="E1255" s="3">
        <f>-</f>
      </c>
      <c r="F1255" s="3">
        <f>-</f>
      </c>
      <c r="G1255" s="3">
        <f>-</f>
      </c>
      <c r="H1255" s="3">
        <f>=ROUND((1000/((1000/E1255) + (1000/f1255))),2)</f>
      </c>
      <c r="I1255" s="3">
        <f>=ROUND((1000/((1000/E1255) + (1000/G1255))),2)</f>
      </c>
      <c r="J1255" s="3">
        <f>=ROUND((1000/((1000/F1255) + (1000/G1255))),2)</f>
      </c>
    </row>
    <row r="1256">
      <c r="A1256" s="2" t="str">
        <v>02/05 ПН</v>
      </c>
      <c r="B1256" s="2" t="str">
        <v>20:30</v>
      </c>
      <c r="C1256" s="2" t="str">
        <v>ИСПАНИЯ ИСПАНИЯ</v>
      </c>
      <c r="D1256" s="2" t="str">
        <v>Леганес-Уэска</v>
      </c>
      <c r="E1256" s="3">
        <f>2.30</f>
      </c>
      <c r="F1256" s="3">
        <f>3.00</f>
      </c>
      <c r="G1256" s="3">
        <f>3.40</f>
      </c>
      <c r="H1256" s="3">
        <f>=ROUND((1000/((1000/E1256) + (1000/f1256))),2)</f>
      </c>
      <c r="I1256" s="3">
        <f>=ROUND((1000/((1000/E1256) + (1000/G1256))),2)</f>
      </c>
      <c r="J1256" s="3">
        <f>=ROUND((1000/((1000/F1256) + (1000/G1256))),2)</f>
      </c>
    </row>
    <row r="1257">
      <c r="A1257" s="2" t="str">
        <v>02/05 ПН</v>
      </c>
      <c r="B1257" s="2" t="str">
        <v>23:00</v>
      </c>
      <c r="C1257" s="2" t="str">
        <v>ИСПАНИЯ ИСПАНИЯ</v>
      </c>
      <c r="D1257" s="2" t="str">
        <v>Вальядолид-Реал Сосьедад (Б)</v>
      </c>
      <c r="E1257" s="3">
        <f>1.36</f>
      </c>
      <c r="F1257" s="3">
        <f>4.75</f>
      </c>
      <c r="G1257" s="3">
        <f>9.00</f>
      </c>
      <c r="H1257" s="3">
        <f>=ROUND((1000/((1000/E1257) + (1000/f1257))),2)</f>
      </c>
      <c r="I1257" s="3">
        <f>=ROUND((1000/((1000/E1257) + (1000/G1257))),2)</f>
      </c>
      <c r="J1257" s="3">
        <f>=ROUND((1000/((1000/F1257) + (1000/G1257))),2)</f>
      </c>
    </row>
    <row r="1258">
      <c r="A1258" s="2" t="str">
        <v>02/05 ПН</v>
      </c>
      <c r="B1258" s="2" t="str">
        <v>15:00</v>
      </c>
      <c r="C1258" s="2" t="str">
        <v>КАЗАХСТАН КАЗАХСТАН</v>
      </c>
      <c r="D1258" s="2" t="str">
        <v>Шахтер Караганда-Тобол</v>
      </c>
      <c r="E1258" s="3">
        <f>-</f>
      </c>
      <c r="F1258" s="3">
        <f>-</f>
      </c>
      <c r="G1258" s="3">
        <f>-</f>
      </c>
      <c r="H1258" s="3">
        <f>=ROUND((1000/((1000/E1258) + (1000/f1258))),2)</f>
      </c>
      <c r="I1258" s="3">
        <f>=ROUND((1000/((1000/E1258) + (1000/G1258))),2)</f>
      </c>
      <c r="J1258" s="3">
        <f>=ROUND((1000/((1000/F1258) + (1000/G1258))),2)</f>
      </c>
    </row>
    <row r="1259">
      <c r="A1259" s="2" t="str">
        <v>02/05 ПН</v>
      </c>
      <c r="B1259" s="2" t="str">
        <v>16:00</v>
      </c>
      <c r="C1259" s="2" t="str">
        <v>КАЗАХСТАН КАЗАХСТАН</v>
      </c>
      <c r="D1259" s="2" t="str">
        <v>Актобе-Акжайык</v>
      </c>
      <c r="E1259" s="3">
        <f>-</f>
      </c>
      <c r="F1259" s="3">
        <f>-</f>
      </c>
      <c r="G1259" s="3">
        <f>-</f>
      </c>
      <c r="H1259" s="3">
        <f>=ROUND((1000/((1000/E1259) + (1000/f1259))),2)</f>
      </c>
      <c r="I1259" s="3">
        <f>=ROUND((1000/((1000/E1259) + (1000/G1259))),2)</f>
      </c>
      <c r="J1259" s="3">
        <f>=ROUND((1000/((1000/F1259) + (1000/G1259))),2)</f>
      </c>
    </row>
    <row r="1260">
      <c r="A1260" s="2" t="str">
        <v>02/05 ПН</v>
      </c>
      <c r="B1260" s="2" t="str">
        <v>17:00</v>
      </c>
      <c r="C1260" s="2" t="str">
        <v>КАЗАХСТАН КАЗАХСТАН</v>
      </c>
      <c r="D1260" s="2" t="str">
        <v>Кайрат Алматы-Кызылжар</v>
      </c>
      <c r="E1260" s="3">
        <f>-</f>
      </c>
      <c r="F1260" s="3">
        <f>-</f>
      </c>
      <c r="G1260" s="3">
        <f>-</f>
      </c>
      <c r="H1260" s="3">
        <f>=ROUND((1000/((1000/E1260) + (1000/f1260))),2)</f>
      </c>
      <c r="I1260" s="3">
        <f>=ROUND((1000/((1000/E1260) + (1000/G1260))),2)</f>
      </c>
      <c r="J1260" s="3">
        <f>=ROUND((1000/((1000/F1260) + (1000/G1260))),2)</f>
      </c>
    </row>
    <row r="1261">
      <c r="A1261" s="2" t="str">
        <v>02/05 ПН</v>
      </c>
      <c r="B1261" s="2" t="str">
        <v>18:00</v>
      </c>
      <c r="C1261" s="2" t="str">
        <v>КАЗАХСТАН КАЗАХСТАН</v>
      </c>
      <c r="D1261" s="2" t="str">
        <v>Аксу-Каспий Актау</v>
      </c>
      <c r="E1261" s="3">
        <f>-</f>
      </c>
      <c r="F1261" s="3">
        <f>-</f>
      </c>
      <c r="G1261" s="3">
        <f>-</f>
      </c>
      <c r="H1261" s="3">
        <f>=ROUND((1000/((1000/E1261) + (1000/f1261))),2)</f>
      </c>
      <c r="I1261" s="3">
        <f>=ROUND((1000/((1000/E1261) + (1000/G1261))),2)</f>
      </c>
      <c r="J1261" s="3">
        <f>=ROUND((1000/((1000/F1261) + (1000/G1261))),2)</f>
      </c>
    </row>
    <row r="1262">
      <c r="A1262" s="2" t="str">
        <v>02/05 ПН</v>
      </c>
      <c r="B1262" s="2" t="str">
        <v>19:00</v>
      </c>
      <c r="C1262" s="2" t="str">
        <v>КАЗАХСТАН КАЗАХСТАН</v>
      </c>
      <c r="D1262" s="2" t="str">
        <v>Мактаарал-Тараз</v>
      </c>
      <c r="E1262" s="3">
        <f>-</f>
      </c>
      <c r="F1262" s="3">
        <f>-</f>
      </c>
      <c r="G1262" s="3">
        <f>-</f>
      </c>
      <c r="H1262" s="3">
        <f>=ROUND((1000/((1000/E1262) + (1000/f1262))),2)</f>
      </c>
      <c r="I1262" s="3">
        <f>=ROUND((1000/((1000/E1262) + (1000/G1262))),2)</f>
      </c>
      <c r="J1262" s="3">
        <f>=ROUND((1000/((1000/F1262) + (1000/G1262))),2)</f>
      </c>
    </row>
    <row r="1263">
      <c r="A1263" s="2" t="str">
        <v>02/05 ПН</v>
      </c>
      <c r="B1263" s="2" t="str">
        <v>01:30</v>
      </c>
      <c r="C1263" s="2" t="str">
        <v>КАНАДА КАНАДА</v>
      </c>
      <c r="D1263" s="2" t="str">
        <v>Кавалри-ФК Пасифик</v>
      </c>
      <c r="E1263" s="3">
        <f>-</f>
      </c>
      <c r="F1263" s="3">
        <f>-</f>
      </c>
      <c r="G1263" s="3">
        <f>-</f>
      </c>
      <c r="H1263" s="3">
        <f>=ROUND((1000/((1000/E1263) + (1000/f1263))),2)</f>
      </c>
      <c r="I1263" s="3">
        <f>=ROUND((1000/((1000/E1263) + (1000/G1263))),2)</f>
      </c>
      <c r="J1263" s="3">
        <f>=ROUND((1000/((1000/F1263) + (1000/G1263))),2)</f>
      </c>
    </row>
    <row r="1264">
      <c r="A1264" s="2" t="str">
        <v>02/05 ПН</v>
      </c>
      <c r="B1264" s="2" t="str">
        <v>01:05</v>
      </c>
      <c r="C1264" s="2" t="str">
        <v>КОЛУМБИЯ КОЛУМБИЯ</v>
      </c>
      <c r="D1264" s="2" t="str">
        <v>Патриотас-Мильонариос</v>
      </c>
      <c r="E1264" s="3">
        <f>4.50</f>
      </c>
      <c r="F1264" s="3">
        <f>3.10</f>
      </c>
      <c r="G1264" s="3">
        <f>1.95</f>
      </c>
      <c r="H1264" s="3">
        <f>=ROUND((1000/((1000/E1264) + (1000/f1264))),2)</f>
      </c>
      <c r="I1264" s="3">
        <f>=ROUND((1000/((1000/E1264) + (1000/G1264))),2)</f>
      </c>
      <c r="J1264" s="3">
        <f>=ROUND((1000/((1000/F1264) + (1000/G1264))),2)</f>
      </c>
    </row>
    <row r="1265">
      <c r="A1265" s="2" t="str">
        <v>02/05 ПН</v>
      </c>
      <c r="B1265" s="2" t="str">
        <v>05:15</v>
      </c>
      <c r="C1265" s="2" t="str">
        <v>КОЛУМБИЯ КОЛУМБИЯ</v>
      </c>
      <c r="D1265" s="2" t="str">
        <v>Хуниор-Энвигадо</v>
      </c>
      <c r="E1265" s="3">
        <f>1.50</f>
      </c>
      <c r="F1265" s="3">
        <f>4.00</f>
      </c>
      <c r="G1265" s="3">
        <f>7.00</f>
      </c>
      <c r="H1265" s="3">
        <f>=ROUND((1000/((1000/E1265) + (1000/f1265))),2)</f>
      </c>
      <c r="I1265" s="3">
        <f>=ROUND((1000/((1000/E1265) + (1000/G1265))),2)</f>
      </c>
      <c r="J1265" s="3">
        <f>=ROUND((1000/((1000/F1265) + (1000/G1265))),2)</f>
      </c>
    </row>
    <row r="1266">
      <c r="A1266" s="2" t="str">
        <v>02/05 ПН</v>
      </c>
      <c r="B1266" s="2" t="str">
        <v>00:00</v>
      </c>
      <c r="C1266" s="2" t="str">
        <v>КОЛУМБИЯ КОЛУМБИЯ</v>
      </c>
      <c r="D1266" s="2" t="str">
        <v>Толима (Ж)-Реал Сантандер (Ж)</v>
      </c>
      <c r="E1266" s="3">
        <f>-</f>
      </c>
      <c r="F1266" s="3">
        <f>-</f>
      </c>
      <c r="G1266" s="3">
        <f>-</f>
      </c>
      <c r="H1266" s="3">
        <f>=ROUND((1000/((1000/E1266) + (1000/f1266))),2)</f>
      </c>
      <c r="I1266" s="3">
        <f>=ROUND((1000/((1000/E1266) + (1000/G1266))),2)</f>
      </c>
      <c r="J1266" s="3">
        <f>=ROUND((1000/((1000/F1266) + (1000/G1266))),2)</f>
      </c>
    </row>
    <row r="1267">
      <c r="A1267" s="2" t="str">
        <v>02/05 ПН</v>
      </c>
      <c r="B1267" s="2" t="str">
        <v>01:00</v>
      </c>
      <c r="C1267" s="2" t="str">
        <v>КОСТА-РИКА КОСТА-РИКА</v>
      </c>
      <c r="D1267" s="2" t="str">
        <v>Спортинг Сан-Хосе-Гуанакасте</v>
      </c>
      <c r="E1267" s="3">
        <f>1.55</f>
      </c>
      <c r="F1267" s="3">
        <f>3.80</f>
      </c>
      <c r="G1267" s="3">
        <f>5.50</f>
      </c>
      <c r="H1267" s="3">
        <f>=ROUND((1000/((1000/E1267) + (1000/f1267))),2)</f>
      </c>
      <c r="I1267" s="3">
        <f>=ROUND((1000/((1000/E1267) + (1000/G1267))),2)</f>
      </c>
      <c r="J1267" s="3">
        <f>=ROUND((1000/((1000/F1267) + (1000/G1267))),2)</f>
      </c>
    </row>
    <row r="1268">
      <c r="A1268" s="2" t="str">
        <v>02/05 ПН</v>
      </c>
      <c r="B1268" s="2" t="str">
        <v>02:00</v>
      </c>
      <c r="C1268" s="2" t="str">
        <v>КОСТА-РИКА КОСТА-РИКА</v>
      </c>
      <c r="D1268" s="2" t="str">
        <v>Саприсса-Зеледон</v>
      </c>
      <c r="E1268" s="3">
        <f>1.72</f>
      </c>
      <c r="F1268" s="3">
        <f>3.40</f>
      </c>
      <c r="G1268" s="3">
        <f>4.33</f>
      </c>
      <c r="H1268" s="3">
        <f>=ROUND((1000/((1000/E1268) + (1000/f1268))),2)</f>
      </c>
      <c r="I1268" s="3">
        <f>=ROUND((1000/((1000/E1268) + (1000/G1268))),2)</f>
      </c>
      <c r="J1268" s="3">
        <f>=ROUND((1000/((1000/F1268) + (1000/G1268))),2)</f>
      </c>
    </row>
    <row r="1269">
      <c r="A1269" s="2" t="str">
        <v>02/05 ПН</v>
      </c>
      <c r="B1269" s="2" t="str">
        <v>01:00</v>
      </c>
      <c r="C1269" s="2" t="str">
        <v>КОСТА-РИКА КОСТА-РИКА</v>
      </c>
      <c r="D1269" s="2" t="str">
        <v>Кармелита-Либерия</v>
      </c>
      <c r="E1269" s="3">
        <f>-</f>
      </c>
      <c r="F1269" s="3">
        <f>-</f>
      </c>
      <c r="G1269" s="3">
        <f>-</f>
      </c>
      <c r="H1269" s="3">
        <f>=ROUND((1000/((1000/E1269) + (1000/f1269))),2)</f>
      </c>
      <c r="I1269" s="3">
        <f>=ROUND((1000/((1000/E1269) + (1000/G1269))),2)</f>
      </c>
      <c r="J1269" s="3">
        <f>=ROUND((1000/((1000/F1269) + (1000/G1269))),2)</f>
      </c>
    </row>
    <row r="1270">
      <c r="A1270" s="2" t="str">
        <v>02/05 ПН</v>
      </c>
      <c r="B1270" s="2" t="str">
        <v>12:00</v>
      </c>
      <c r="C1270" s="2" t="str">
        <v>КЫРГЫЗСТАН КЫРГЫЗСТАН</v>
      </c>
      <c r="D1270" s="2" t="str">
        <v>Дордой Бишкек-Алай Ош</v>
      </c>
      <c r="E1270" s="3">
        <f>-</f>
      </c>
      <c r="F1270" s="3">
        <f>-</f>
      </c>
      <c r="G1270" s="3">
        <f>-</f>
      </c>
      <c r="H1270" s="3">
        <f>=ROUND((1000/((1000/E1270) + (1000/f1270))),2)</f>
      </c>
      <c r="I1270" s="3">
        <f>=ROUND((1000/((1000/E1270) + (1000/G1270))),2)</f>
      </c>
      <c r="J1270" s="3">
        <f>=ROUND((1000/((1000/F1270) + (1000/G1270))),2)</f>
      </c>
    </row>
    <row r="1271">
      <c r="A1271" s="2" t="str">
        <v>02/05 ПН</v>
      </c>
      <c r="B1271" s="2" t="str">
        <v>12:00</v>
      </c>
      <c r="C1271" s="2" t="str">
        <v>КЫРГЫЗСТАН КЫРГЫЗСТАН</v>
      </c>
      <c r="D1271" s="2" t="str">
        <v>Илбирс-Абдыш-Ата</v>
      </c>
      <c r="E1271" s="3">
        <f>-</f>
      </c>
      <c r="F1271" s="3">
        <f>-</f>
      </c>
      <c r="G1271" s="3">
        <f>-</f>
      </c>
      <c r="H1271" s="3">
        <f>=ROUND((1000/((1000/E1271) + (1000/f1271))),2)</f>
      </c>
      <c r="I1271" s="3">
        <f>=ROUND((1000/((1000/E1271) + (1000/G1271))),2)</f>
      </c>
      <c r="J1271" s="3">
        <f>=ROUND((1000/((1000/F1271) + (1000/G1271))),2)</f>
      </c>
    </row>
    <row r="1272">
      <c r="A1272" s="2" t="str">
        <v>02/05 ПН</v>
      </c>
      <c r="B1272" s="2" t="str">
        <v>12:00</v>
      </c>
      <c r="C1272" s="2" t="str">
        <v>КЫРГЫЗСТАН КЫРГЫЗСТАН</v>
      </c>
      <c r="D1272" s="2" t="str">
        <v>Нефчи Кочкор-Ата-Талант</v>
      </c>
      <c r="E1272" s="3">
        <f>-</f>
      </c>
      <c r="F1272" s="3">
        <f>-</f>
      </c>
      <c r="G1272" s="3">
        <f>-</f>
      </c>
      <c r="H1272" s="3">
        <f>=ROUND((1000/((1000/E1272) + (1000/f1272))),2)</f>
      </c>
      <c r="I1272" s="3">
        <f>=ROUND((1000/((1000/E1272) + (1000/G1272))),2)</f>
      </c>
      <c r="J1272" s="3">
        <f>=ROUND((1000/((1000/F1272) + (1000/G1272))),2)</f>
      </c>
    </row>
    <row r="1273">
      <c r="A1273" s="2" t="str">
        <v>02/05 ПН</v>
      </c>
      <c r="B1273" s="2" t="str">
        <v>18:30</v>
      </c>
      <c r="C1273" s="2" t="str">
        <v>ЛАТВИЯ ЛАТВИЯ</v>
      </c>
      <c r="D1273" s="2" t="str">
        <v>Ауда-Метта/ЛУ</v>
      </c>
      <c r="E1273" s="3">
        <f>-</f>
      </c>
      <c r="F1273" s="3">
        <f>-</f>
      </c>
      <c r="G1273" s="3">
        <f>-</f>
      </c>
      <c r="H1273" s="3">
        <f>=ROUND((1000/((1000/E1273) + (1000/f1273))),2)</f>
      </c>
      <c r="I1273" s="3">
        <f>=ROUND((1000/((1000/E1273) + (1000/G1273))),2)</f>
      </c>
      <c r="J1273" s="3">
        <f>=ROUND((1000/((1000/F1273) + (1000/G1273))),2)</f>
      </c>
    </row>
    <row r="1274">
      <c r="A1274" s="2" t="str">
        <v>02/05 ПН</v>
      </c>
      <c r="B1274" s="2" t="str">
        <v>20:00</v>
      </c>
      <c r="C1274" s="2" t="str">
        <v>ЛАТВИЯ ЛАТВИЯ</v>
      </c>
      <c r="D1274" s="2" t="str">
        <v>Супер Нова-Лиепая</v>
      </c>
      <c r="E1274" s="3">
        <f>-</f>
      </c>
      <c r="F1274" s="3">
        <f>-</f>
      </c>
      <c r="G1274" s="3">
        <f>-</f>
      </c>
      <c r="H1274" s="3">
        <f>=ROUND((1000/((1000/E1274) + (1000/f1274))),2)</f>
      </c>
      <c r="I1274" s="3">
        <f>=ROUND((1000/((1000/E1274) + (1000/G1274))),2)</f>
      </c>
      <c r="J1274" s="3">
        <f>=ROUND((1000/((1000/F1274) + (1000/G1274))),2)</f>
      </c>
    </row>
    <row r="1275">
      <c r="A1275" s="2" t="str">
        <v>02/05 ПН</v>
      </c>
      <c r="B1275" s="2" t="str">
        <v>19:00</v>
      </c>
      <c r="C1275" s="2" t="str">
        <v>ЛИТВА ЛИТВА</v>
      </c>
      <c r="D1275" s="2" t="str">
        <v>Жальгирис 2-Банга 2</v>
      </c>
      <c r="E1275" s="3">
        <f>-</f>
      </c>
      <c r="F1275" s="3">
        <f>-</f>
      </c>
      <c r="G1275" s="3">
        <f>-</f>
      </c>
      <c r="H1275" s="3">
        <f>=ROUND((1000/((1000/E1275) + (1000/f1275))),2)</f>
      </c>
      <c r="I1275" s="3">
        <f>=ROUND((1000/((1000/E1275) + (1000/G1275))),2)</f>
      </c>
      <c r="J1275" s="3">
        <f>=ROUND((1000/((1000/F1275) + (1000/G1275))),2)</f>
      </c>
    </row>
    <row r="1276">
      <c r="A1276" s="2" t="str">
        <v>02/05 ПН</v>
      </c>
      <c r="B1276" s="2" t="str">
        <v>16:30</v>
      </c>
      <c r="C1276" s="2" t="str">
        <v>МАЛАВИ МАЛАВИ</v>
      </c>
      <c r="D1276" s="2" t="str">
        <v>Дедза Динамос-ТН Старс</v>
      </c>
      <c r="E1276" s="3">
        <f>-</f>
      </c>
      <c r="F1276" s="3">
        <f>-</f>
      </c>
      <c r="G1276" s="3">
        <f>-</f>
      </c>
      <c r="H1276" s="3">
        <f>=ROUND((1000/((1000/E1276) + (1000/f1276))),2)</f>
      </c>
      <c r="I1276" s="3">
        <f>=ROUND((1000/((1000/E1276) + (1000/G1276))),2)</f>
      </c>
      <c r="J1276" s="3">
        <f>=ROUND((1000/((1000/F1276) + (1000/G1276))),2)</f>
      </c>
    </row>
    <row r="1277">
      <c r="A1277" s="2" t="str">
        <v>02/05 ПН</v>
      </c>
      <c r="B1277" s="2" t="str">
        <v>01:00</v>
      </c>
      <c r="C1277" s="2" t="str">
        <v>МЕКСИКА МЕКСИКА</v>
      </c>
      <c r="D1277" s="2" t="str">
        <v>Атлетико Сан-Луис-Сантос Лагуна</v>
      </c>
      <c r="E1277" s="3">
        <f>2.37</f>
      </c>
      <c r="F1277" s="3">
        <f>3.20</f>
      </c>
      <c r="G1277" s="3">
        <f>3.10</f>
      </c>
      <c r="H1277" s="3">
        <f>=ROUND((1000/((1000/E1277) + (1000/f1277))),2)</f>
      </c>
      <c r="I1277" s="3">
        <f>=ROUND((1000/((1000/E1277) + (1000/G1277))),2)</f>
      </c>
      <c r="J1277" s="3">
        <f>=ROUND((1000/((1000/F1277) + (1000/G1277))),2)</f>
      </c>
    </row>
    <row r="1278">
      <c r="A1278" s="2" t="str">
        <v>02/05 ПН</v>
      </c>
      <c r="B1278" s="2" t="str">
        <v>05:00</v>
      </c>
      <c r="C1278" s="2" t="str">
        <v>МЕКСИКА МЕКСИКА</v>
      </c>
      <c r="D1278" s="2" t="str">
        <v>Леон-Толука</v>
      </c>
      <c r="E1278" s="3">
        <f>1.55</f>
      </c>
      <c r="F1278" s="3">
        <f>4.20</f>
      </c>
      <c r="G1278" s="3">
        <f>6.00</f>
      </c>
      <c r="H1278" s="3">
        <f>=ROUND((1000/((1000/E1278) + (1000/f1278))),2)</f>
      </c>
      <c r="I1278" s="3">
        <f>=ROUND((1000/((1000/E1278) + (1000/G1278))),2)</f>
      </c>
      <c r="J1278" s="3">
        <f>=ROUND((1000/((1000/F1278) + (1000/G1278))),2)</f>
      </c>
    </row>
    <row r="1279">
      <c r="A1279" s="2" t="str">
        <v>02/05 ПН</v>
      </c>
      <c r="B1279" s="2" t="str">
        <v>01:00</v>
      </c>
      <c r="C1279" s="2" t="str">
        <v>МЕКСИКА МЕКСИКА</v>
      </c>
      <c r="D1279" s="2" t="str">
        <v>Леонес Негрос-Атланте</v>
      </c>
      <c r="E1279" s="3">
        <f>-</f>
      </c>
      <c r="F1279" s="3">
        <f>-</f>
      </c>
      <c r="G1279" s="3">
        <f>-</f>
      </c>
      <c r="H1279" s="3">
        <f>=ROUND((1000/((1000/E1279) + (1000/f1279))),2)</f>
      </c>
      <c r="I1279" s="3">
        <f>=ROUND((1000/((1000/E1279) + (1000/G1279))),2)</f>
      </c>
      <c r="J1279" s="3">
        <f>=ROUND((1000/((1000/F1279) + (1000/G1279))),2)</f>
      </c>
    </row>
    <row r="1280">
      <c r="A1280" s="2" t="str">
        <v>02/05 ПН</v>
      </c>
      <c r="B1280" s="2" t="str">
        <v>03:05</v>
      </c>
      <c r="C1280" s="2" t="str">
        <v>МЕКСИКА МЕКСИКА</v>
      </c>
      <c r="D1280" s="2" t="str">
        <v>Селайа-Канкун</v>
      </c>
      <c r="E1280" s="3">
        <f>-</f>
      </c>
      <c r="F1280" s="3">
        <f>-</f>
      </c>
      <c r="G1280" s="3">
        <f>-</f>
      </c>
      <c r="H1280" s="3">
        <f>=ROUND((1000/((1000/E1280) + (1000/f1280))),2)</f>
      </c>
      <c r="I1280" s="3">
        <f>=ROUND((1000/((1000/E1280) + (1000/G1280))),2)</f>
      </c>
      <c r="J1280" s="3">
        <f>=ROUND((1000/((1000/F1280) + (1000/G1280))),2)</f>
      </c>
    </row>
    <row r="1281">
      <c r="A1281" s="2" t="str">
        <v>02/05 ПН</v>
      </c>
      <c r="B1281" s="2" t="str">
        <v>03:00</v>
      </c>
      <c r="C1281" s="2" t="str">
        <v>МЕКСИКА МЕКСИКА</v>
      </c>
      <c r="D1281" s="2" t="str">
        <v>УАНЛ-Тигрес (Ж)-Америка (Ж)</v>
      </c>
      <c r="E1281" s="3">
        <f>-</f>
      </c>
      <c r="F1281" s="3">
        <f>-</f>
      </c>
      <c r="G1281" s="3">
        <f>-</f>
      </c>
      <c r="H1281" s="3">
        <f>=ROUND((1000/((1000/E1281) + (1000/f1281))),2)</f>
      </c>
      <c r="I1281" s="3">
        <f>=ROUND((1000/((1000/E1281) + (1000/G1281))),2)</f>
      </c>
      <c r="J1281" s="3">
        <f>=ROUND((1000/((1000/F1281) + (1000/G1281))),2)</f>
      </c>
    </row>
    <row r="1282">
      <c r="A1282" s="2" t="str">
        <v>02/05 ПН</v>
      </c>
      <c r="B1282" s="2" t="str">
        <v>21:00</v>
      </c>
      <c r="C1282" s="2" t="str">
        <v>МЕКСИКА МЕКСИКА</v>
      </c>
      <c r="D1282" s="2" t="str">
        <v>Атлас (Ж)-Леон (Ж)</v>
      </c>
      <c r="E1282" s="3">
        <f>-</f>
      </c>
      <c r="F1282" s="3">
        <f>-</f>
      </c>
      <c r="G1282" s="3">
        <f>-</f>
      </c>
      <c r="H1282" s="3">
        <f>=ROUND((1000/((1000/E1282) + (1000/f1282))),2)</f>
      </c>
      <c r="I1282" s="3">
        <f>=ROUND((1000/((1000/E1282) + (1000/G1282))),2)</f>
      </c>
      <c r="J1282" s="3">
        <f>=ROUND((1000/((1000/F1282) + (1000/G1282))),2)</f>
      </c>
    </row>
    <row r="1283">
      <c r="A1283" s="2" t="str">
        <v>02/05 ПН</v>
      </c>
      <c r="B1283" s="2" t="str">
        <v>00:30</v>
      </c>
      <c r="C1283" s="2" t="str">
        <v>МИР МИР</v>
      </c>
      <c r="D1283" s="2" t="str">
        <v>Сальвадор-Панама</v>
      </c>
      <c r="E1283" s="3">
        <f>-</f>
      </c>
      <c r="F1283" s="3">
        <f>-</f>
      </c>
      <c r="G1283" s="3">
        <f>-</f>
      </c>
      <c r="H1283" s="3">
        <f>=ROUND((1000/((1000/E1283) + (1000/f1283))),2)</f>
      </c>
      <c r="I1283" s="3">
        <f>=ROUND((1000/((1000/E1283) + (1000/G1283))),2)</f>
      </c>
      <c r="J1283" s="3">
        <f>=ROUND((1000/((1000/F1283) + (1000/G1283))),2)</f>
      </c>
    </row>
    <row r="1284">
      <c r="A1284" s="2" t="str">
        <v>02/05 ПН</v>
      </c>
      <c r="B1284" s="2" t="str">
        <v>17:00</v>
      </c>
      <c r="C1284" s="2" t="str">
        <v>МИР МИР</v>
      </c>
      <c r="D1284" s="2" t="str">
        <v>Замбия (Ж)-Ботсвана (Ж)</v>
      </c>
      <c r="E1284" s="3">
        <f>-</f>
      </c>
      <c r="F1284" s="3">
        <f>-</f>
      </c>
      <c r="G1284" s="3">
        <f>-</f>
      </c>
      <c r="H1284" s="3">
        <f>=ROUND((1000/((1000/E1284) + (1000/f1284))),2)</f>
      </c>
      <c r="I1284" s="3">
        <f>=ROUND((1000/((1000/E1284) + (1000/G1284))),2)</f>
      </c>
      <c r="J1284" s="3">
        <f>=ROUND((1000/((1000/F1284) + (1000/G1284))),2)</f>
      </c>
    </row>
    <row r="1285">
      <c r="A1285" s="2" t="str">
        <v>02/05 ПН</v>
      </c>
      <c r="B1285" s="2" t="str">
        <v>19:00</v>
      </c>
      <c r="C1285" s="2" t="str">
        <v>НОРВЕГИЯ НОРВЕГИЯ</v>
      </c>
      <c r="D1285" s="2" t="str">
        <v>Флоро-Мольде 2</v>
      </c>
      <c r="E1285" s="3">
        <f>-</f>
      </c>
      <c r="F1285" s="3">
        <f>-</f>
      </c>
      <c r="G1285" s="3">
        <f>-</f>
      </c>
      <c r="H1285" s="3">
        <f>=ROUND((1000/((1000/E1285) + (1000/f1285))),2)</f>
      </c>
      <c r="I1285" s="3">
        <f>=ROUND((1000/((1000/E1285) + (1000/G1285))),2)</f>
      </c>
      <c r="J1285" s="3">
        <f>=ROUND((1000/((1000/F1285) + (1000/G1285))),2)</f>
      </c>
    </row>
    <row r="1286">
      <c r="A1286" s="2" t="str">
        <v>02/05 ПН</v>
      </c>
      <c r="B1286" s="2" t="str">
        <v>21:00</v>
      </c>
      <c r="C1286" s="2" t="str">
        <v>НОРВЕГИЯ НОРВЕГИЯ</v>
      </c>
      <c r="D1286" s="2" t="str">
        <v>Бьярг-Бранн 2</v>
      </c>
      <c r="E1286" s="3">
        <f>-</f>
      </c>
      <c r="F1286" s="3">
        <f>-</f>
      </c>
      <c r="G1286" s="3">
        <f>-</f>
      </c>
      <c r="H1286" s="3">
        <f>=ROUND((1000/((1000/E1286) + (1000/f1286))),2)</f>
      </c>
      <c r="I1286" s="3">
        <f>=ROUND((1000/((1000/E1286) + (1000/G1286))),2)</f>
      </c>
      <c r="J1286" s="3">
        <f>=ROUND((1000/((1000/F1286) + (1000/G1286))),2)</f>
      </c>
    </row>
    <row r="1287">
      <c r="A1287" s="2" t="str">
        <v>02/05 ПН</v>
      </c>
      <c r="B1287" s="2" t="str">
        <v>21:00</v>
      </c>
      <c r="C1287" s="2" t="str">
        <v>НОРВЕГИЯ НОРВЕГИЯ</v>
      </c>
      <c r="D1287" s="2" t="str">
        <v>Викинг 2-Видар</v>
      </c>
      <c r="E1287" s="3">
        <f>-</f>
      </c>
      <c r="F1287" s="3">
        <f>-</f>
      </c>
      <c r="G1287" s="3">
        <f>-</f>
      </c>
      <c r="H1287" s="3">
        <f>=ROUND((1000/((1000/E1287) + (1000/f1287))),2)</f>
      </c>
      <c r="I1287" s="3">
        <f>=ROUND((1000/((1000/E1287) + (1000/G1287))),2)</f>
      </c>
      <c r="J1287" s="3">
        <f>=ROUND((1000/((1000/F1287) + (1000/G1287))),2)</f>
      </c>
    </row>
    <row r="1288">
      <c r="A1288" s="2" t="str">
        <v>02/05 ПН</v>
      </c>
      <c r="B1288" s="2" t="str">
        <v>20:00</v>
      </c>
      <c r="C1288" s="2" t="str">
        <v>НОРВЕГИЯ НОРВЕГИЯ</v>
      </c>
      <c r="D1288" s="2" t="str">
        <v>Старт 2-Randesund</v>
      </c>
      <c r="E1288" s="3">
        <f>-</f>
      </c>
      <c r="F1288" s="3">
        <f>-</f>
      </c>
      <c r="G1288" s="3">
        <f>-</f>
      </c>
      <c r="H1288" s="3">
        <f>=ROUND((1000/((1000/E1288) + (1000/f1288))),2)</f>
      </c>
      <c r="I1288" s="3">
        <f>=ROUND((1000/((1000/E1288) + (1000/G1288))),2)</f>
      </c>
      <c r="J1288" s="3">
        <f>=ROUND((1000/((1000/F1288) + (1000/G1288))),2)</f>
      </c>
    </row>
    <row r="1289">
      <c r="A1289" s="2" t="str">
        <v>02/05 ПН</v>
      </c>
      <c r="B1289" s="2" t="str">
        <v>21:00</v>
      </c>
      <c r="C1289" s="2" t="str">
        <v>НОРВЕГИЯ НОРВЕГИЯ</v>
      </c>
      <c r="D1289" s="2" t="str">
        <v>Мьёндален 2-Лиллестрём 2</v>
      </c>
      <c r="E1289" s="3">
        <f>-</f>
      </c>
      <c r="F1289" s="3">
        <f>-</f>
      </c>
      <c r="G1289" s="3">
        <f>-</f>
      </c>
      <c r="H1289" s="3">
        <f>=ROUND((1000/((1000/E1289) + (1000/f1289))),2)</f>
      </c>
      <c r="I1289" s="3">
        <f>=ROUND((1000/((1000/E1289) + (1000/G1289))),2)</f>
      </c>
      <c r="J1289" s="3">
        <f>=ROUND((1000/((1000/F1289) + (1000/G1289))),2)</f>
      </c>
    </row>
    <row r="1290">
      <c r="A1290" s="2" t="str">
        <v>02/05 ПН</v>
      </c>
      <c r="B1290" s="2" t="str">
        <v>03:05</v>
      </c>
      <c r="C1290" s="2" t="str">
        <v>ПАНАМА ПАНАМА</v>
      </c>
      <c r="D1290" s="2" t="str">
        <v>Чирики-Эррера</v>
      </c>
      <c r="E1290" s="3">
        <f>-</f>
      </c>
      <c r="F1290" s="3">
        <f>-</f>
      </c>
      <c r="G1290" s="3">
        <f>-</f>
      </c>
      <c r="H1290" s="3">
        <f>=ROUND((1000/((1000/E1290) + (1000/f1290))),2)</f>
      </c>
      <c r="I1290" s="3">
        <f>=ROUND((1000/((1000/E1290) + (1000/G1290))),2)</f>
      </c>
      <c r="J1290" s="3">
        <f>=ROUND((1000/((1000/F1290) + (1000/G1290))),2)</f>
      </c>
    </row>
    <row r="1291">
      <c r="A1291" s="2" t="str">
        <v>02/05 ПН</v>
      </c>
      <c r="B1291" s="2" t="str">
        <v>01:00</v>
      </c>
      <c r="C1291" s="2" t="str">
        <v>ПАРАГВАЙ ПАРАГВАЙ</v>
      </c>
      <c r="D1291" s="2" t="str">
        <v>Соль де Америка-Гуарани</v>
      </c>
      <c r="E1291" s="3">
        <f>3.00</f>
      </c>
      <c r="F1291" s="3">
        <f>3.10</f>
      </c>
      <c r="G1291" s="3">
        <f>2.25</f>
      </c>
      <c r="H1291" s="3">
        <f>=ROUND((1000/((1000/E1291) + (1000/f1291))),2)</f>
      </c>
      <c r="I1291" s="3">
        <f>=ROUND((1000/((1000/E1291) + (1000/G1291))),2)</f>
      </c>
      <c r="J1291" s="3">
        <f>=ROUND((1000/((1000/F1291) + (1000/G1291))),2)</f>
      </c>
    </row>
    <row r="1292">
      <c r="A1292" s="2" t="str">
        <v>02/05 ПН</v>
      </c>
      <c r="B1292" s="2" t="str">
        <v>03:15</v>
      </c>
      <c r="C1292" s="2" t="str">
        <v>ПАРАГВАЙ ПАРАГВАЙ</v>
      </c>
      <c r="D1292" s="2" t="str">
        <v>Олимпия Асунсьон-Гуаренья</v>
      </c>
      <c r="E1292" s="3">
        <f>1.70</f>
      </c>
      <c r="F1292" s="3">
        <f>3.50</f>
      </c>
      <c r="G1292" s="3">
        <f>4.50</f>
      </c>
      <c r="H1292" s="3">
        <f>=ROUND((1000/((1000/E1292) + (1000/f1292))),2)</f>
      </c>
      <c r="I1292" s="3">
        <f>=ROUND((1000/((1000/E1292) + (1000/G1292))),2)</f>
      </c>
      <c r="J1292" s="3">
        <f>=ROUND((1000/((1000/F1292) + (1000/G1292))),2)</f>
      </c>
    </row>
    <row r="1293">
      <c r="A1293" s="2" t="str">
        <v>02/05 ПН</v>
      </c>
      <c r="B1293" s="2" t="str">
        <v>23:00</v>
      </c>
      <c r="C1293" s="2" t="str">
        <v>ПАРАГВАЙ ПАРАГВАЙ</v>
      </c>
      <c r="D1293" s="2" t="str">
        <v>2 де Майо-3 де Фебреро</v>
      </c>
      <c r="E1293" s="3">
        <f>-</f>
      </c>
      <c r="F1293" s="3">
        <f>-</f>
      </c>
      <c r="G1293" s="3">
        <f>-</f>
      </c>
      <c r="H1293" s="3">
        <f>=ROUND((1000/((1000/E1293) + (1000/f1293))),2)</f>
      </c>
      <c r="I1293" s="3">
        <f>=ROUND((1000/((1000/E1293) + (1000/G1293))),2)</f>
      </c>
      <c r="J1293" s="3">
        <f>=ROUND((1000/((1000/F1293) + (1000/G1293))),2)</f>
      </c>
    </row>
    <row r="1294">
      <c r="A1294" s="2" t="str">
        <v>02/05 ПН</v>
      </c>
      <c r="B1294" s="2" t="str">
        <v>00:30</v>
      </c>
      <c r="C1294" s="2" t="str">
        <v>ПЕРУ ПЕРУ</v>
      </c>
      <c r="D1294" s="2" t="str">
        <v>Альянса Лима-Карлос Стейн</v>
      </c>
      <c r="E1294" s="3">
        <f>1.36</f>
      </c>
      <c r="F1294" s="3">
        <f>5.00</f>
      </c>
      <c r="G1294" s="3">
        <f>9.50</f>
      </c>
      <c r="H1294" s="3">
        <f>=ROUND((1000/((1000/E1294) + (1000/f1294))),2)</f>
      </c>
      <c r="I1294" s="3">
        <f>=ROUND((1000/((1000/E1294) + (1000/G1294))),2)</f>
      </c>
      <c r="J1294" s="3">
        <f>=ROUND((1000/((1000/F1294) + (1000/G1294))),2)</f>
      </c>
    </row>
    <row r="1295">
      <c r="A1295" s="2" t="str">
        <v>02/05 ПН</v>
      </c>
      <c r="B1295" s="2" t="str">
        <v>03:00</v>
      </c>
      <c r="C1295" s="2" t="str">
        <v>ПЕРУ ПЕРУ</v>
      </c>
      <c r="D1295" s="2" t="str">
        <v>Спорт Уанкайо-Сесар Вальехо</v>
      </c>
      <c r="E1295" s="3">
        <f>1.90</f>
      </c>
      <c r="F1295" s="3">
        <f>3.25</f>
      </c>
      <c r="G1295" s="3">
        <f>4.50</f>
      </c>
      <c r="H1295" s="3">
        <f>=ROUND((1000/((1000/E1295) + (1000/f1295))),2)</f>
      </c>
      <c r="I1295" s="3">
        <f>=ROUND((1000/((1000/E1295) + (1000/G1295))),2)</f>
      </c>
      <c r="J1295" s="3">
        <f>=ROUND((1000/((1000/F1295) + (1000/G1295))),2)</f>
      </c>
    </row>
    <row r="1296">
      <c r="A1296" s="2" t="str">
        <v>02/05 ПН</v>
      </c>
      <c r="B1296" s="2" t="str">
        <v>22:15</v>
      </c>
      <c r="C1296" s="2" t="str">
        <v>ПЕРУ ПЕРУ</v>
      </c>
      <c r="D1296" s="2" t="str">
        <v>Кантолао-Спорт Бойз</v>
      </c>
      <c r="E1296" s="3">
        <f>3.10</f>
      </c>
      <c r="F1296" s="3">
        <f>3.40</f>
      </c>
      <c r="G1296" s="3">
        <f>2.37</f>
      </c>
      <c r="H1296" s="3">
        <f>=ROUND((1000/((1000/E1296) + (1000/f1296))),2)</f>
      </c>
      <c r="I1296" s="3">
        <f>=ROUND((1000/((1000/E1296) + (1000/G1296))),2)</f>
      </c>
      <c r="J1296" s="3">
        <f>=ROUND((1000/((1000/F1296) + (1000/G1296))),2)</f>
      </c>
    </row>
    <row r="1297">
      <c r="A1297" s="2" t="str">
        <v>02/05 ПН</v>
      </c>
      <c r="B1297" s="2" t="str">
        <v>00:00</v>
      </c>
      <c r="C1297" s="2" t="str">
        <v>ПЕРУ ПЕРУ</v>
      </c>
      <c r="D1297" s="2" t="str">
        <v>Альфонсо Угарте-Чавелинес</v>
      </c>
      <c r="E1297" s="3">
        <f>-</f>
      </c>
      <c r="F1297" s="3">
        <f>-</f>
      </c>
      <c r="G1297" s="3">
        <f>-</f>
      </c>
      <c r="H1297" s="3">
        <f>=ROUND((1000/((1000/E1297) + (1000/f1297))),2)</f>
      </c>
      <c r="I1297" s="3">
        <f>=ROUND((1000/((1000/E1297) + (1000/G1297))),2)</f>
      </c>
      <c r="J1297" s="3">
        <f>=ROUND((1000/((1000/F1297) + (1000/G1297))),2)</f>
      </c>
    </row>
    <row r="1298">
      <c r="A1298" s="2" t="str">
        <v>02/05 ПН</v>
      </c>
      <c r="B1298" s="2" t="str">
        <v>00:00</v>
      </c>
      <c r="C1298" s="2" t="str">
        <v>ПЕРУ ПЕРУ</v>
      </c>
      <c r="D1298" s="2" t="str">
        <v>Альянса Уануко-Сантос</v>
      </c>
      <c r="E1298" s="3">
        <f>-</f>
      </c>
      <c r="F1298" s="3">
        <f>-</f>
      </c>
      <c r="G1298" s="3">
        <f>-</f>
      </c>
      <c r="H1298" s="3">
        <f>=ROUND((1000/((1000/E1298) + (1000/f1298))),2)</f>
      </c>
      <c r="I1298" s="3">
        <f>=ROUND((1000/((1000/E1298) + (1000/G1298))),2)</f>
      </c>
      <c r="J1298" s="3">
        <f>=ROUND((1000/((1000/F1298) + (1000/G1298))),2)</f>
      </c>
    </row>
    <row r="1299">
      <c r="A1299" s="2" t="str">
        <v>02/05 ПН</v>
      </c>
      <c r="B1299" s="2" t="str">
        <v>00:30</v>
      </c>
      <c r="C1299" s="2" t="str">
        <v>ПЕРУ ПЕРУ</v>
      </c>
      <c r="D1299" s="2" t="str">
        <v>Хуан Аурич-Депортиво Коопсоль</v>
      </c>
      <c r="E1299" s="3">
        <f>-</f>
      </c>
      <c r="F1299" s="3">
        <f>-</f>
      </c>
      <c r="G1299" s="3">
        <f>-</f>
      </c>
      <c r="H1299" s="3">
        <f>=ROUND((1000/((1000/E1299) + (1000/f1299))),2)</f>
      </c>
      <c r="I1299" s="3">
        <f>=ROUND((1000/((1000/E1299) + (1000/G1299))),2)</f>
      </c>
      <c r="J1299" s="3">
        <f>=ROUND((1000/((1000/F1299) + (1000/G1299))),2)</f>
      </c>
    </row>
    <row r="1300" xml:space="preserve">
      <c r="A1300" s="2" t="str">
        <v>02/05 ПН</v>
      </c>
      <c r="B1300" s="2" t="str" xml:space="preserve">
        <v xml:space="preserve">00:00_x000d_
TKP</v>
      </c>
      <c r="C1300" s="2" t="str">
        <v>ПЕРУ ПЕРУ</v>
      </c>
      <c r="D1300" s="2" t="str">
        <v>Университарио (Ж)-Депортиво Мунисипаль (Ж)</v>
      </c>
      <c r="E1300" s="3">
        <f>-</f>
      </c>
      <c r="F1300" s="3">
        <f>-</f>
      </c>
      <c r="G1300" s="3">
        <f>-</f>
      </c>
      <c r="H1300" s="3">
        <f>=ROUND((1000/((1000/E1300) + (1000/f1300))),2)</f>
      </c>
      <c r="I1300" s="3">
        <f>=ROUND((1000/((1000/E1300) + (1000/G1300))),2)</f>
      </c>
      <c r="J1300" s="3">
        <f>=ROUND((1000/((1000/F1300) + (1000/G1300))),2)</f>
      </c>
    </row>
    <row r="1301" xml:space="preserve">
      <c r="A1301" s="2" t="str">
        <v>02/05 ПН</v>
      </c>
      <c r="B1301" s="2" t="str" xml:space="preserve">
        <v xml:space="preserve">00:30_x000d_
TKP</v>
      </c>
      <c r="C1301" s="2" t="str">
        <v>ПЕРУ ПЕРУ</v>
      </c>
      <c r="D1301" s="2" t="str">
        <v>УТК (Ж)-Универсидад Сан Мартин (Ж)</v>
      </c>
      <c r="E1301" s="3">
        <f>-</f>
      </c>
      <c r="F1301" s="3">
        <f>-</f>
      </c>
      <c r="G1301" s="3">
        <f>-</f>
      </c>
      <c r="H1301" s="3">
        <f>=ROUND((1000/((1000/E1301) + (1000/f1301))),2)</f>
      </c>
      <c r="I1301" s="3">
        <f>=ROUND((1000/((1000/E1301) + (1000/G1301))),2)</f>
      </c>
      <c r="J1301" s="3">
        <f>=ROUND((1000/((1000/F1301) + (1000/G1301))),2)</f>
      </c>
    </row>
    <row r="1302">
      <c r="A1302" s="2" t="str">
        <v>02/05 ПН</v>
      </c>
      <c r="B1302" s="2" t="str">
        <v>14:40</v>
      </c>
      <c r="C1302" s="2" t="str">
        <v>ПОЛЬША ПОЛЬША</v>
      </c>
      <c r="D1302" s="2" t="str">
        <v>Сандецья-Стомиль Ольштын</v>
      </c>
      <c r="E1302" s="3">
        <f>1.65</f>
      </c>
      <c r="F1302" s="3">
        <f>3.40</f>
      </c>
      <c r="G1302" s="3">
        <f>4.75</f>
      </c>
      <c r="H1302" s="3">
        <f>=ROUND((1000/((1000/E1302) + (1000/f1302))),2)</f>
      </c>
      <c r="I1302" s="3">
        <f>=ROUND((1000/((1000/E1302) + (1000/G1302))),2)</f>
      </c>
      <c r="J1302" s="3">
        <f>=ROUND((1000/((1000/F1302) + (1000/G1302))),2)</f>
      </c>
    </row>
    <row r="1303">
      <c r="A1303" s="2" t="str">
        <v>02/05 ПН</v>
      </c>
      <c r="B1303" s="2" t="str">
        <v>22:00</v>
      </c>
      <c r="C1303" s="2" t="str">
        <v>ПОЛЬША ПОЛЬША</v>
      </c>
      <c r="D1303" s="2" t="str">
        <v>Скра-Тыхы 71</v>
      </c>
      <c r="E1303" s="3">
        <f>-</f>
      </c>
      <c r="F1303" s="3">
        <f>-</f>
      </c>
      <c r="G1303" s="3">
        <f>-</f>
      </c>
      <c r="H1303" s="3">
        <f>=ROUND((1000/((1000/E1303) + (1000/f1303))),2)</f>
      </c>
      <c r="I1303" s="3">
        <f>=ROUND((1000/((1000/E1303) + (1000/G1303))),2)</f>
      </c>
      <c r="J1303" s="3">
        <f>=ROUND((1000/((1000/F1303) + (1000/G1303))),2)</f>
      </c>
    </row>
    <row r="1304">
      <c r="A1304" s="2" t="str">
        <v>02/05 ПН</v>
      </c>
      <c r="B1304" s="2" t="str">
        <v>18:00</v>
      </c>
      <c r="C1304" s="2" t="str">
        <v>ПОЛЬША ПОЛЬША</v>
      </c>
      <c r="D1304" s="2" t="str">
        <v>Лех-Ракув</v>
      </c>
      <c r="E1304" s="3">
        <f>-</f>
      </c>
      <c r="F1304" s="3">
        <f>-</f>
      </c>
      <c r="G1304" s="3">
        <f>-</f>
      </c>
      <c r="H1304" s="3">
        <f>=ROUND((1000/((1000/E1304) + (1000/f1304))),2)</f>
      </c>
      <c r="I1304" s="3">
        <f>=ROUND((1000/((1000/E1304) + (1000/G1304))),2)</f>
      </c>
      <c r="J1304" s="3">
        <f>=ROUND((1000/((1000/F1304) + (1000/G1304))),2)</f>
      </c>
    </row>
    <row r="1305">
      <c r="A1305" s="2" t="str">
        <v>02/05 ПН</v>
      </c>
      <c r="B1305" s="2" t="str">
        <v>23:15</v>
      </c>
      <c r="C1305" s="2" t="str">
        <v>ПОРТУГАЛИЯ ПОРТУГАЛИЯ</v>
      </c>
      <c r="D1305" s="2" t="str">
        <v>Пасуш де Феррейра-Тондела</v>
      </c>
      <c r="E1305" s="3">
        <f>2.20</f>
      </c>
      <c r="F1305" s="3">
        <f>3.30</f>
      </c>
      <c r="G1305" s="3">
        <f>3.30</f>
      </c>
      <c r="H1305" s="3">
        <f>=ROUND((1000/((1000/E1305) + (1000/f1305))),2)</f>
      </c>
      <c r="I1305" s="3">
        <f>=ROUND((1000/((1000/E1305) + (1000/G1305))),2)</f>
      </c>
      <c r="J1305" s="3">
        <f>=ROUND((1000/((1000/F1305) + (1000/G1305))),2)</f>
      </c>
    </row>
    <row r="1306">
      <c r="A1306" s="2" t="str">
        <v>02/05 ПН</v>
      </c>
      <c r="B1306" s="2" t="str">
        <v>18:30</v>
      </c>
      <c r="C1306" s="2" t="str">
        <v>РУМЫНИЯ РУМЫНИЯ</v>
      </c>
      <c r="D1306" s="2" t="str">
        <v>Мьовени-Ботошани</v>
      </c>
      <c r="E1306" s="3">
        <f>2.20</f>
      </c>
      <c r="F1306" s="3">
        <f>2.80</f>
      </c>
      <c r="G1306" s="3">
        <f>3.25</f>
      </c>
      <c r="H1306" s="3">
        <f>=ROUND((1000/((1000/E1306) + (1000/f1306))),2)</f>
      </c>
      <c r="I1306" s="3">
        <f>=ROUND((1000/((1000/E1306) + (1000/G1306))),2)</f>
      </c>
      <c r="J1306" s="3">
        <f>=ROUND((1000/((1000/F1306) + (1000/G1306))),2)</f>
      </c>
    </row>
    <row r="1307">
      <c r="A1307" s="2" t="str">
        <v>02/05 ПН</v>
      </c>
      <c r="B1307" s="2" t="str">
        <v>21:30</v>
      </c>
      <c r="C1307" s="2" t="str">
        <v>РУМЫНИЯ РУМЫНИЯ</v>
      </c>
      <c r="D1307" s="2" t="str">
        <v>Стяуа-Арджеш</v>
      </c>
      <c r="E1307" s="3">
        <f>1.28</f>
      </c>
      <c r="F1307" s="3">
        <f>4.50</f>
      </c>
      <c r="G1307" s="3">
        <f>8.50</f>
      </c>
      <c r="H1307" s="3">
        <f>=ROUND((1000/((1000/E1307) + (1000/f1307))),2)</f>
      </c>
      <c r="I1307" s="3">
        <f>=ROUND((1000/((1000/E1307) + (1000/G1307))),2)</f>
      </c>
      <c r="J1307" s="3">
        <f>=ROUND((1000/((1000/F1307) + (1000/G1307))),2)</f>
      </c>
    </row>
    <row r="1308">
      <c r="A1308" s="2" t="str">
        <v>02/05 ПН</v>
      </c>
      <c r="B1308" s="2" t="str">
        <v>01:00</v>
      </c>
      <c r="C1308" s="2" t="str">
        <v>САЛЬВАДОР САЛЬВАДОР</v>
      </c>
      <c r="D1308" s="2" t="str">
        <v>Атлетико Марте-Альянса</v>
      </c>
      <c r="E1308" s="3">
        <f>-</f>
      </c>
      <c r="F1308" s="3">
        <f>-</f>
      </c>
      <c r="G1308" s="3">
        <f>-</f>
      </c>
      <c r="H1308" s="3">
        <f>=ROUND((1000/((1000/E1308) + (1000/f1308))),2)</f>
      </c>
      <c r="I1308" s="3">
        <f>=ROUND((1000/((1000/E1308) + (1000/G1308))),2)</f>
      </c>
      <c r="J1308" s="3">
        <f>=ROUND((1000/((1000/F1308) + (1000/G1308))),2)</f>
      </c>
    </row>
    <row r="1309">
      <c r="A1309" s="2" t="str">
        <v>02/05 ПН</v>
      </c>
      <c r="B1309" s="2" t="str">
        <v>01:00</v>
      </c>
      <c r="C1309" s="2" t="str">
        <v>САЛЬВАДОР САЛЬВАДОР</v>
      </c>
      <c r="D1309" s="2" t="str">
        <v>Мунисипал Лименью-Исидро Метапан</v>
      </c>
      <c r="E1309" s="3">
        <f>-</f>
      </c>
      <c r="F1309" s="3">
        <f>-</f>
      </c>
      <c r="G1309" s="3">
        <f>-</f>
      </c>
      <c r="H1309" s="3">
        <f>=ROUND((1000/((1000/E1309) + (1000/f1309))),2)</f>
      </c>
      <c r="I1309" s="3">
        <f>=ROUND((1000/((1000/E1309) + (1000/G1309))),2)</f>
      </c>
      <c r="J1309" s="3">
        <f>=ROUND((1000/((1000/F1309) + (1000/G1309))),2)</f>
      </c>
    </row>
    <row r="1310">
      <c r="A1310" s="2" t="str">
        <v>02/05 ПН</v>
      </c>
      <c r="B1310" s="2" t="str">
        <v>01:15</v>
      </c>
      <c r="C1310" s="2" t="str">
        <v>САЛЬВАДОР САЛЬВАДОР</v>
      </c>
      <c r="D1310" s="2" t="str">
        <v>ФАС-Луис Анхель Фирпо</v>
      </c>
      <c r="E1310" s="3">
        <f>-</f>
      </c>
      <c r="F1310" s="3">
        <f>-</f>
      </c>
      <c r="G1310" s="3">
        <f>-</f>
      </c>
      <c r="H1310" s="3">
        <f>=ROUND((1000/((1000/E1310) + (1000/f1310))),2)</f>
      </c>
      <c r="I1310" s="3">
        <f>=ROUND((1000/((1000/E1310) + (1000/G1310))),2)</f>
      </c>
      <c r="J1310" s="3">
        <f>=ROUND((1000/((1000/F1310) + (1000/G1310))),2)</f>
      </c>
    </row>
    <row r="1311">
      <c r="A1311" s="2" t="str">
        <v>02/05 ПН</v>
      </c>
      <c r="B1311" s="2" t="str">
        <v>02:30</v>
      </c>
      <c r="C1311" s="2" t="str">
        <v>САЛЬВАДОР САЛЬВАДОР</v>
      </c>
      <c r="D1311" s="2" t="str">
        <v>Санта-Текла-Чалатенанго</v>
      </c>
      <c r="E1311" s="3">
        <f>-</f>
      </c>
      <c r="F1311" s="3">
        <f>-</f>
      </c>
      <c r="G1311" s="3">
        <f>-</f>
      </c>
      <c r="H1311" s="3">
        <f>=ROUND((1000/((1000/E1311) + (1000/f1311))),2)</f>
      </c>
      <c r="I1311" s="3">
        <f>=ROUND((1000/((1000/E1311) + (1000/G1311))),2)</f>
      </c>
      <c r="J1311" s="3">
        <f>=ROUND((1000/((1000/F1311) + (1000/G1311))),2)</f>
      </c>
    </row>
    <row r="1312">
      <c r="A1312" s="2" t="str">
        <v>02/05 ПН</v>
      </c>
      <c r="B1312" s="2" t="str">
        <v>00:00</v>
      </c>
      <c r="C1312" s="2" t="str">
        <v>СЕВЕРНАЯ И ЦЕНТРАЛЬНАЯ АМЕРИКА СЕВЕРНАЯ И ЦЕНТРАЛЬНАЯ АМЕРИКА</v>
      </c>
      <c r="D1312" s="2" t="str">
        <v>Канада U17 (Ж)-Гондурас U17 (Ж)</v>
      </c>
      <c r="E1312" s="3">
        <f>-</f>
      </c>
      <c r="F1312" s="3">
        <f>-</f>
      </c>
      <c r="G1312" s="3">
        <f>-</f>
      </c>
      <c r="H1312" s="3">
        <f>=ROUND((1000/((1000/E1312) + (1000/f1312))),2)</f>
      </c>
      <c r="I1312" s="3">
        <f>=ROUND((1000/((1000/E1312) + (1000/G1312))),2)</f>
      </c>
      <c r="J1312" s="3">
        <f>=ROUND((1000/((1000/F1312) + (1000/G1312))),2)</f>
      </c>
    </row>
    <row r="1313">
      <c r="A1313" s="2" t="str">
        <v>02/05 ПН</v>
      </c>
      <c r="B1313" s="2" t="str">
        <v>00:00</v>
      </c>
      <c r="C1313" s="2" t="str">
        <v>СЕВЕРНАЯ И ЦЕНТРАЛЬНАЯ АМЕРИКА СЕВЕРНАЯ И ЦЕНТРАЛЬНАЯ АМЕРИКА</v>
      </c>
      <c r="D1313" s="2" t="str">
        <v>Сальвадор U17 (Ж)-Сент-Китс и Невис U17 (Ж)</v>
      </c>
      <c r="E1313" s="3">
        <f>-</f>
      </c>
      <c r="F1313" s="3">
        <f>-</f>
      </c>
      <c r="G1313" s="3">
        <f>-</f>
      </c>
      <c r="H1313" s="3">
        <f>=ROUND((1000/((1000/E1313) + (1000/f1313))),2)</f>
      </c>
      <c r="I1313" s="3">
        <f>=ROUND((1000/((1000/E1313) + (1000/G1313))),2)</f>
      </c>
      <c r="J1313" s="3">
        <f>=ROUND((1000/((1000/F1313) + (1000/G1313))),2)</f>
      </c>
    </row>
    <row r="1314">
      <c r="A1314" s="2" t="str">
        <v>02/05 ПН</v>
      </c>
      <c r="B1314" s="2" t="str">
        <v>03:00</v>
      </c>
      <c r="C1314" s="2" t="str">
        <v>СЕВЕРНАЯ И ЦЕНТРАЛЬНАЯ АМЕРИКА СЕВЕРНАЯ И ЦЕНТРАЛЬНАЯ АМЕРИКА</v>
      </c>
      <c r="D1314" s="2" t="str">
        <v>Гаити U17 (Ж)-Доминиканская Республика U17 (Ж)</v>
      </c>
      <c r="E1314" s="3">
        <f>-</f>
      </c>
      <c r="F1314" s="3">
        <f>-</f>
      </c>
      <c r="G1314" s="3">
        <f>-</f>
      </c>
      <c r="H1314" s="3">
        <f>=ROUND((1000/((1000/E1314) + (1000/f1314))),2)</f>
      </c>
      <c r="I1314" s="3">
        <f>=ROUND((1000/((1000/E1314) + (1000/G1314))),2)</f>
      </c>
      <c r="J1314" s="3">
        <f>=ROUND((1000/((1000/F1314) + (1000/G1314))),2)</f>
      </c>
    </row>
    <row r="1315">
      <c r="A1315" s="2" t="str">
        <v>02/05 ПН</v>
      </c>
      <c r="B1315" s="2" t="str">
        <v>03:00</v>
      </c>
      <c r="C1315" s="2" t="str">
        <v>СЕВЕРНАЯ И ЦЕНТРАЛЬНАЯ АМЕРИКА СЕВЕРНАЯ И ЦЕНТРАЛЬНАЯ АМЕРИКА</v>
      </c>
      <c r="D1315" s="2" t="str">
        <v>Ямайка U17 (Ж)-Куба U17 (Ж)</v>
      </c>
      <c r="E1315" s="3">
        <f>-</f>
      </c>
      <c r="F1315" s="3">
        <f>-</f>
      </c>
      <c r="G1315" s="3">
        <f>-</f>
      </c>
      <c r="H1315" s="3">
        <f>=ROUND((1000/((1000/E1315) + (1000/f1315))),2)</f>
      </c>
      <c r="I1315" s="3">
        <f>=ROUND((1000/((1000/E1315) + (1000/G1315))),2)</f>
      </c>
      <c r="J1315" s="3">
        <f>=ROUND((1000/((1000/F1315) + (1000/G1315))),2)</f>
      </c>
    </row>
    <row r="1316">
      <c r="A1316" s="2" t="str">
        <v>02/05 ПН</v>
      </c>
      <c r="B1316" s="2" t="str">
        <v>17:00</v>
      </c>
      <c r="C1316" s="2" t="str">
        <v>СЕРБИЯ СЕРБИЯ</v>
      </c>
      <c r="D1316" s="2" t="str">
        <v>Радник-Спартак Субботица</v>
      </c>
      <c r="E1316" s="3">
        <f>-</f>
      </c>
      <c r="F1316" s="3">
        <f>-</f>
      </c>
      <c r="G1316" s="3">
        <f>-</f>
      </c>
      <c r="H1316" s="3">
        <f>=ROUND((1000/((1000/E1316) + (1000/f1316))),2)</f>
      </c>
      <c r="I1316" s="3">
        <f>=ROUND((1000/((1000/E1316) + (1000/G1316))),2)</f>
      </c>
      <c r="J1316" s="3">
        <f>=ROUND((1000/((1000/F1316) + (1000/G1316))),2)</f>
      </c>
    </row>
    <row r="1317">
      <c r="A1317" s="2" t="str">
        <v>02/05 ПН</v>
      </c>
      <c r="B1317" s="2" t="str">
        <v>19:05</v>
      </c>
      <c r="C1317" s="2" t="str">
        <v>СЕРБИЯ СЕРБИЯ</v>
      </c>
      <c r="D1317" s="2" t="str">
        <v>Пролетер-Металац</v>
      </c>
      <c r="E1317" s="3">
        <f>-</f>
      </c>
      <c r="F1317" s="3">
        <f>-</f>
      </c>
      <c r="G1317" s="3">
        <f>-</f>
      </c>
      <c r="H1317" s="3">
        <f>=ROUND((1000/((1000/E1317) + (1000/f1317))),2)</f>
      </c>
      <c r="I1317" s="3">
        <f>=ROUND((1000/((1000/E1317) + (1000/G1317))),2)</f>
      </c>
      <c r="J1317" s="3">
        <f>=ROUND((1000/((1000/F1317) + (1000/G1317))),2)</f>
      </c>
    </row>
    <row r="1318">
      <c r="A1318" s="2" t="str">
        <v>02/05 ПН</v>
      </c>
      <c r="B1318" s="2" t="str">
        <v>20:30</v>
      </c>
      <c r="C1318" s="2" t="str">
        <v>СЕРБИЯ СЕРБИЯ</v>
      </c>
      <c r="D1318" s="2" t="str">
        <v>Чукарички-Раднички Ниш</v>
      </c>
      <c r="E1318" s="3">
        <f>-</f>
      </c>
      <c r="F1318" s="3">
        <f>-</f>
      </c>
      <c r="G1318" s="3">
        <f>-</f>
      </c>
      <c r="H1318" s="3">
        <f>=ROUND((1000/((1000/E1318) + (1000/f1318))),2)</f>
      </c>
      <c r="I1318" s="3">
        <f>=ROUND((1000/((1000/E1318) + (1000/G1318))),2)</f>
      </c>
      <c r="J1318" s="3">
        <f>=ROUND((1000/((1000/F1318) + (1000/G1318))),2)</f>
      </c>
    </row>
    <row r="1319">
      <c r="A1319" s="2" t="str">
        <v>02/05 ПН</v>
      </c>
      <c r="B1319" s="2" t="str">
        <v>18:00</v>
      </c>
      <c r="C1319" s="2" t="str">
        <v>СЕРБИЯ СЕРБИЯ</v>
      </c>
      <c r="D1319" s="2" t="str">
        <v>Будучность Добановичи-Графичар Белград</v>
      </c>
      <c r="E1319" s="3">
        <f>-</f>
      </c>
      <c r="F1319" s="3">
        <f>-</f>
      </c>
      <c r="G1319" s="3">
        <f>-</f>
      </c>
      <c r="H1319" s="3">
        <f>=ROUND((1000/((1000/E1319) + (1000/f1319))),2)</f>
      </c>
      <c r="I1319" s="3">
        <f>=ROUND((1000/((1000/E1319) + (1000/G1319))),2)</f>
      </c>
      <c r="J1319" s="3">
        <f>=ROUND((1000/((1000/F1319) + (1000/G1319))),2)</f>
      </c>
    </row>
    <row r="1320">
      <c r="A1320" s="2" t="str">
        <v>02/05 ПН</v>
      </c>
      <c r="B1320" s="2" t="str">
        <v>18:00</v>
      </c>
      <c r="C1320" s="2" t="str">
        <v>СЕРБИЯ СЕРБИЯ</v>
      </c>
      <c r="D1320" s="2" t="str">
        <v>Кабель Нови-Сад-Златибор</v>
      </c>
      <c r="E1320" s="3">
        <f>-</f>
      </c>
      <c r="F1320" s="3">
        <f>-</f>
      </c>
      <c r="G1320" s="3">
        <f>-</f>
      </c>
      <c r="H1320" s="3">
        <f>=ROUND((1000/((1000/E1320) + (1000/f1320))),2)</f>
      </c>
      <c r="I1320" s="3">
        <f>=ROUND((1000/((1000/E1320) + (1000/G1320))),2)</f>
      </c>
      <c r="J1320" s="3">
        <f>=ROUND((1000/((1000/F1320) + (1000/G1320))),2)</f>
      </c>
    </row>
    <row r="1321">
      <c r="A1321" s="2" t="str">
        <v>02/05 ПН</v>
      </c>
      <c r="B1321" s="2" t="str">
        <v>18:00</v>
      </c>
      <c r="C1321" s="2" t="str">
        <v>СЕРБИЯ СЕРБИЯ</v>
      </c>
      <c r="D1321" s="2" t="str">
        <v>Жарково-Инджия</v>
      </c>
      <c r="E1321" s="3">
        <f>-</f>
      </c>
      <c r="F1321" s="3">
        <f>-</f>
      </c>
      <c r="G1321" s="3">
        <f>-</f>
      </c>
      <c r="H1321" s="3">
        <f>=ROUND((1000/((1000/E1321) + (1000/f1321))),2)</f>
      </c>
      <c r="I1321" s="3">
        <f>=ROUND((1000/((1000/E1321) + (1000/G1321))),2)</f>
      </c>
      <c r="J1321" s="3">
        <f>=ROUND((1000/((1000/F1321) + (1000/G1321))),2)</f>
      </c>
    </row>
    <row r="1322">
      <c r="A1322" s="2" t="str">
        <v>02/05 ПН</v>
      </c>
      <c r="B1322" s="2" t="str">
        <v>18:00</v>
      </c>
      <c r="C1322" s="2" t="str">
        <v>СЕРБИЯ СЕРБИЯ</v>
      </c>
      <c r="D1322" s="2" t="str">
        <v>Железничар Панчево-Сремска-Митровица</v>
      </c>
      <c r="E1322" s="3">
        <f>-</f>
      </c>
      <c r="F1322" s="3">
        <f>-</f>
      </c>
      <c r="G1322" s="3">
        <f>-</f>
      </c>
      <c r="H1322" s="3">
        <f>=ROUND((1000/((1000/E1322) + (1000/f1322))),2)</f>
      </c>
      <c r="I1322" s="3">
        <f>=ROUND((1000/((1000/E1322) + (1000/G1322))),2)</f>
      </c>
      <c r="J1322" s="3">
        <f>=ROUND((1000/((1000/F1322) + (1000/G1322))),2)</f>
      </c>
    </row>
    <row r="1323">
      <c r="A1323" s="2" t="str">
        <v>02/05 ПН</v>
      </c>
      <c r="B1323" s="2" t="str">
        <v>18:00</v>
      </c>
      <c r="C1323" s="2" t="str">
        <v>СЕРБИЯ СЕРБИЯ</v>
      </c>
      <c r="D1323" s="2" t="str">
        <v>Лозница-Младость ГАТ</v>
      </c>
      <c r="E1323" s="3">
        <f>-</f>
      </c>
      <c r="F1323" s="3">
        <f>-</f>
      </c>
      <c r="G1323" s="3">
        <f>-</f>
      </c>
      <c r="H1323" s="3">
        <f>=ROUND((1000/((1000/E1323) + (1000/f1323))),2)</f>
      </c>
      <c r="I1323" s="3">
        <f>=ROUND((1000/((1000/E1323) + (1000/G1323))),2)</f>
      </c>
      <c r="J1323" s="3">
        <f>=ROUND((1000/((1000/F1323) + (1000/G1323))),2)</f>
      </c>
    </row>
    <row r="1324">
      <c r="A1324" s="2" t="str">
        <v>02/05 ПН</v>
      </c>
      <c r="B1324" s="2" t="str">
        <v>20:00</v>
      </c>
      <c r="C1324" s="2" t="str">
        <v>СЕРБИЯ СЕРБИЯ</v>
      </c>
      <c r="D1324" s="2" t="str">
        <v>Явор Иваница-Нови Белград</v>
      </c>
      <c r="E1324" s="3">
        <f>-</f>
      </c>
      <c r="F1324" s="3">
        <f>-</f>
      </c>
      <c r="G1324" s="3">
        <f>-</f>
      </c>
      <c r="H1324" s="3">
        <f>=ROUND((1000/((1000/E1324) + (1000/f1324))),2)</f>
      </c>
      <c r="I1324" s="3">
        <f>=ROUND((1000/((1000/E1324) + (1000/G1324))),2)</f>
      </c>
      <c r="J1324" s="3">
        <f>=ROUND((1000/((1000/F1324) + (1000/G1324))),2)</f>
      </c>
    </row>
    <row r="1325" xml:space="preserve">
      <c r="A1325" s="2" t="str">
        <v>02/05 ПН</v>
      </c>
      <c r="B1325" s="2" t="str" xml:space="preserve">
        <v xml:space="preserve">13:00_x000d_
TKP</v>
      </c>
      <c r="C1325" s="2" t="str">
        <v>СЕРБИЯ СЕРБИЯ</v>
      </c>
      <c r="D1325" s="2" t="str">
        <v>Раднички Белград-Звездара</v>
      </c>
      <c r="E1325" s="3">
        <f>-</f>
      </c>
      <c r="F1325" s="3">
        <f>-</f>
      </c>
      <c r="G1325" s="3">
        <f>-</f>
      </c>
      <c r="H1325" s="3">
        <f>=ROUND((1000/((1000/E1325) + (1000/f1325))),2)</f>
      </c>
      <c r="I1325" s="3">
        <f>=ROUND((1000/((1000/E1325) + (1000/G1325))),2)</f>
      </c>
      <c r="J1325" s="3">
        <f>=ROUND((1000/((1000/F1325) + (1000/G1325))),2)</f>
      </c>
    </row>
    <row r="1326">
      <c r="A1326" s="2" t="str">
        <v>02/05 ПН</v>
      </c>
      <c r="B1326" s="2" t="str">
        <v>00:00</v>
      </c>
      <c r="C1326" s="2" t="str">
        <v>США США</v>
      </c>
      <c r="D1326" s="2" t="str">
        <v>Нэшвилл-Филадельфия Юнион</v>
      </c>
      <c r="E1326" s="3">
        <f>2.20</f>
      </c>
      <c r="F1326" s="3">
        <f>3.00</f>
      </c>
      <c r="G1326" s="3">
        <f>3.75</f>
      </c>
      <c r="H1326" s="3">
        <f>=ROUND((1000/((1000/E1326) + (1000/f1326))),2)</f>
      </c>
      <c r="I1326" s="3">
        <f>=ROUND((1000/((1000/E1326) + (1000/G1326))),2)</f>
      </c>
      <c r="J1326" s="3">
        <f>=ROUND((1000/((1000/F1326) + (1000/G1326))),2)</f>
      </c>
    </row>
    <row r="1327">
      <c r="A1327" s="2" t="str">
        <v>02/05 ПН</v>
      </c>
      <c r="B1327" s="2" t="str">
        <v>06:00</v>
      </c>
      <c r="C1327" s="2" t="str">
        <v>США США</v>
      </c>
      <c r="D1327" s="2" t="str">
        <v>Лос-Анджелес ФК-Миннесота</v>
      </c>
      <c r="E1327" s="3">
        <f>1.50</f>
      </c>
      <c r="F1327" s="3">
        <f>4.33</f>
      </c>
      <c r="G1327" s="3">
        <f>6.50</f>
      </c>
      <c r="H1327" s="3">
        <f>=ROUND((1000/((1000/E1327) + (1000/f1327))),2)</f>
      </c>
      <c r="I1327" s="3">
        <f>=ROUND((1000/((1000/E1327) + (1000/G1327))),2)</f>
      </c>
      <c r="J1327" s="3">
        <f>=ROUND((1000/((1000/F1327) + (1000/G1327))),2)</f>
      </c>
    </row>
    <row r="1328">
      <c r="A1328" s="2" t="str">
        <v>02/05 ПН</v>
      </c>
      <c r="B1328" s="2" t="str">
        <v>04:00</v>
      </c>
      <c r="C1328" s="2" t="str">
        <v>США США</v>
      </c>
      <c r="D1328" s="2" t="str">
        <v>Лос-Анджелес Галакси 2-Финикс Райзинг</v>
      </c>
      <c r="E1328" s="3">
        <f>-</f>
      </c>
      <c r="F1328" s="3">
        <f>-</f>
      </c>
      <c r="G1328" s="3">
        <f>-</f>
      </c>
      <c r="H1328" s="3">
        <f>=ROUND((1000/((1000/E1328) + (1000/f1328))),2)</f>
      </c>
      <c r="I1328" s="3">
        <f>=ROUND((1000/((1000/E1328) + (1000/G1328))),2)</f>
      </c>
      <c r="J1328" s="3">
        <f>=ROUND((1000/((1000/F1328) + (1000/G1328))),2)</f>
      </c>
    </row>
    <row r="1329">
      <c r="A1329" s="2" t="str">
        <v>02/05 ПН</v>
      </c>
      <c r="B1329" s="2" t="str">
        <v>02:00</v>
      </c>
      <c r="C1329" s="2" t="str">
        <v>США США</v>
      </c>
      <c r="D1329" s="2" t="str">
        <v>Такома Дефинс-Хьюстон Динамо 2</v>
      </c>
      <c r="E1329" s="3">
        <f>-</f>
      </c>
      <c r="F1329" s="3">
        <f>-</f>
      </c>
      <c r="G1329" s="3">
        <f>-</f>
      </c>
      <c r="H1329" s="3">
        <f>=ROUND((1000/((1000/E1329) + (1000/f1329))),2)</f>
      </c>
      <c r="I1329" s="3">
        <f>=ROUND((1000/((1000/E1329) + (1000/G1329))),2)</f>
      </c>
      <c r="J1329" s="3">
        <f>=ROUND((1000/((1000/F1329) + (1000/G1329))),2)</f>
      </c>
    </row>
    <row r="1330">
      <c r="A1330" s="2" t="str">
        <v>02/05 ПН</v>
      </c>
      <c r="B1330" s="2" t="str">
        <v>04:00</v>
      </c>
      <c r="C1330" s="2" t="str">
        <v>США США</v>
      </c>
      <c r="D1330" s="2" t="str">
        <v>Спортинг Канзас-Сити II-Северный Техас</v>
      </c>
      <c r="E1330" s="3">
        <f>-</f>
      </c>
      <c r="F1330" s="3">
        <f>-</f>
      </c>
      <c r="G1330" s="3">
        <f>-</f>
      </c>
      <c r="H1330" s="3">
        <f>=ROUND((1000/((1000/E1330) + (1000/f1330))),2)</f>
      </c>
      <c r="I1330" s="3">
        <f>=ROUND((1000/((1000/E1330) + (1000/G1330))),2)</f>
      </c>
      <c r="J1330" s="3">
        <f>=ROUND((1000/((1000/F1330) + (1000/G1330))),2)</f>
      </c>
    </row>
    <row r="1331" xml:space="preserve">
      <c r="A1331" s="2" t="str">
        <v>02/05 ПН</v>
      </c>
      <c r="B1331" s="2" t="str" xml:space="preserve">
        <v xml:space="preserve">03:30_x000d_
TKP</v>
      </c>
      <c r="C1331" s="2" t="str">
        <v>США США</v>
      </c>
      <c r="D1331" s="2" t="str">
        <v>Северная Вирджиния-Commonwealth Cardinals</v>
      </c>
      <c r="E1331" s="3">
        <f>-</f>
      </c>
      <c r="F1331" s="3">
        <f>-</f>
      </c>
      <c r="G1331" s="3">
        <f>-</f>
      </c>
      <c r="H1331" s="3">
        <f>=ROUND((1000/((1000/E1331) + (1000/f1331))),2)</f>
      </c>
      <c r="I1331" s="3">
        <f>=ROUND((1000/((1000/E1331) + (1000/G1331))),2)</f>
      </c>
      <c r="J1331" s="3">
        <f>=ROUND((1000/((1000/F1331) + (1000/G1331))),2)</f>
      </c>
    </row>
    <row r="1332">
      <c r="A1332" s="2" t="str">
        <v>02/05 ПН</v>
      </c>
      <c r="B1332" s="2" t="str">
        <v>03:00</v>
      </c>
      <c r="C1332" s="2" t="str">
        <v>США США</v>
      </c>
      <c r="D1332" s="2" t="str">
        <v>Syracuse Pulse-Калифорния Юнайтед</v>
      </c>
      <c r="E1332" s="3">
        <f>-</f>
      </c>
      <c r="F1332" s="3">
        <f>-</f>
      </c>
      <c r="G1332" s="3">
        <f>-</f>
      </c>
      <c r="H1332" s="3">
        <f>=ROUND((1000/((1000/E1332) + (1000/f1332))),2)</f>
      </c>
      <c r="I1332" s="3">
        <f>=ROUND((1000/((1000/E1332) + (1000/G1332))),2)</f>
      </c>
      <c r="J1332" s="3">
        <f>=ROUND((1000/((1000/F1332) + (1000/G1332))),2)</f>
      </c>
    </row>
    <row r="1333">
      <c r="A1333" s="2" t="str">
        <v>02/05 ПН</v>
      </c>
      <c r="B1333" s="2" t="str">
        <v>01:00</v>
      </c>
      <c r="C1333" s="2" t="str">
        <v>США США</v>
      </c>
      <c r="D1333" s="2" t="str">
        <v>Вашингтон Спирит (Ж)-Рейн (Ж)</v>
      </c>
      <c r="E1333" s="3">
        <f>-</f>
      </c>
      <c r="F1333" s="3">
        <f>-</f>
      </c>
      <c r="G1333" s="3">
        <f>-</f>
      </c>
      <c r="H1333" s="3">
        <f>=ROUND((1000/((1000/E1333) + (1000/f1333))),2)</f>
      </c>
      <c r="I1333" s="3">
        <f>=ROUND((1000/((1000/E1333) + (1000/G1333))),2)</f>
      </c>
      <c r="J1333" s="3">
        <f>=ROUND((1000/((1000/F1333) + (1000/G1333))),2)</f>
      </c>
    </row>
    <row r="1334">
      <c r="A1334" s="2" t="str">
        <v>02/05 ПН</v>
      </c>
      <c r="B1334" s="2" t="str">
        <v>03:00</v>
      </c>
      <c r="C1334" s="2" t="str">
        <v>США США</v>
      </c>
      <c r="D1334" s="2" t="str">
        <v>Орландо Прайд (Ж)-Готэм (Ж)</v>
      </c>
      <c r="E1334" s="3">
        <f>-</f>
      </c>
      <c r="F1334" s="3">
        <f>-</f>
      </c>
      <c r="G1334" s="3">
        <f>-</f>
      </c>
      <c r="H1334" s="3">
        <f>=ROUND((1000/((1000/E1334) + (1000/f1334))),2)</f>
      </c>
      <c r="I1334" s="3">
        <f>=ROUND((1000/((1000/E1334) + (1000/G1334))),2)</f>
      </c>
      <c r="J1334" s="3">
        <f>=ROUND((1000/((1000/F1334) + (1000/G1334))),2)</f>
      </c>
    </row>
    <row r="1335">
      <c r="A1335" s="2" t="str">
        <v>02/05 ПН</v>
      </c>
      <c r="B1335" s="2" t="str">
        <v>03:00</v>
      </c>
      <c r="C1335" s="2" t="str">
        <v>США США</v>
      </c>
      <c r="D1335" s="2" t="str">
        <v>Хьюстон Дэш (Ж)-San Diego Wave (Ж)</v>
      </c>
      <c r="E1335" s="3">
        <f>-</f>
      </c>
      <c r="F1335" s="3">
        <f>-</f>
      </c>
      <c r="G1335" s="3">
        <f>-</f>
      </c>
      <c r="H1335" s="3">
        <f>=ROUND((1000/((1000/E1335) + (1000/f1335))),2)</f>
      </c>
      <c r="I1335" s="3">
        <f>=ROUND((1000/((1000/E1335) + (1000/G1335))),2)</f>
      </c>
      <c r="J1335" s="3">
        <f>=ROUND((1000/((1000/F1335) + (1000/G1335))),2)</f>
      </c>
    </row>
    <row r="1336">
      <c r="A1336" s="2" t="str">
        <v>02/05 ПН</v>
      </c>
      <c r="B1336" s="2" t="str">
        <v>17:00</v>
      </c>
      <c r="C1336" s="2" t="str">
        <v>ТАНЗАНИЯ ТАНЗАНИЯ</v>
      </c>
      <c r="D1336" s="2" t="str">
        <v>Бишара Мара Юнайтед-Мтибва Шугар</v>
      </c>
      <c r="E1336" s="3">
        <f>-</f>
      </c>
      <c r="F1336" s="3">
        <f>-</f>
      </c>
      <c r="G1336" s="3">
        <f>-</f>
      </c>
      <c r="H1336" s="3">
        <f>=ROUND((1000/((1000/E1336) + (1000/f1336))),2)</f>
      </c>
      <c r="I1336" s="3">
        <f>=ROUND((1000/((1000/E1336) + (1000/G1336))),2)</f>
      </c>
      <c r="J1336" s="3">
        <f>=ROUND((1000/((1000/F1336) + (1000/G1336))),2)</f>
      </c>
    </row>
    <row r="1337">
      <c r="A1337" s="2" t="str">
        <v>02/05 ПН</v>
      </c>
      <c r="B1337" s="2" t="str">
        <v>17:00</v>
      </c>
      <c r="C1337" s="2" t="str">
        <v>УГАНДА УГАНДА</v>
      </c>
      <c r="D1337" s="2" t="str">
        <v>Бусога-Вакисо Джайентс</v>
      </c>
      <c r="E1337" s="3">
        <f>-</f>
      </c>
      <c r="F1337" s="3">
        <f>-</f>
      </c>
      <c r="G1337" s="3">
        <f>-</f>
      </c>
      <c r="H1337" s="3">
        <f>=ROUND((1000/((1000/E1337) + (1000/f1337))),2)</f>
      </c>
      <c r="I1337" s="3">
        <f>=ROUND((1000/((1000/E1337) + (1000/G1337))),2)</f>
      </c>
      <c r="J1337" s="3">
        <f>=ROUND((1000/((1000/F1337) + (1000/G1337))),2)</f>
      </c>
    </row>
    <row r="1338">
      <c r="A1338" s="2" t="str">
        <v>02/05 ПН</v>
      </c>
      <c r="B1338" s="2" t="str">
        <v>17:00</v>
      </c>
      <c r="C1338" s="2" t="str">
        <v>УГАНДА УГАНДА</v>
      </c>
      <c r="D1338" s="2" t="str">
        <v>Полис-Вилла</v>
      </c>
      <c r="E1338" s="3">
        <f>-</f>
      </c>
      <c r="F1338" s="3">
        <f>-</f>
      </c>
      <c r="G1338" s="3">
        <f>-</f>
      </c>
      <c r="H1338" s="3">
        <f>=ROUND((1000/((1000/E1338) + (1000/f1338))),2)</f>
      </c>
      <c r="I1338" s="3">
        <f>=ROUND((1000/((1000/E1338) + (1000/G1338))),2)</f>
      </c>
      <c r="J1338" s="3">
        <f>=ROUND((1000/((1000/F1338) + (1000/G1338))),2)</f>
      </c>
    </row>
    <row r="1339">
      <c r="A1339" s="2" t="str">
        <v>02/05 ПН</v>
      </c>
      <c r="B1339" s="2" t="str">
        <v>17:30</v>
      </c>
      <c r="C1339" s="2" t="str">
        <v>УЗБЕКИСТАН УЗБЕКИСТАН</v>
      </c>
      <c r="D1339" s="2" t="str">
        <v>Коканд 1912-Насаф</v>
      </c>
      <c r="E1339" s="3">
        <f>-</f>
      </c>
      <c r="F1339" s="3">
        <f>-</f>
      </c>
      <c r="G1339" s="3">
        <f>-</f>
      </c>
      <c r="H1339" s="3">
        <f>=ROUND((1000/((1000/E1339) + (1000/f1339))),2)</f>
      </c>
      <c r="I1339" s="3">
        <f>=ROUND((1000/((1000/E1339) + (1000/G1339))),2)</f>
      </c>
      <c r="J1339" s="3">
        <f>=ROUND((1000/((1000/F1339) + (1000/G1339))),2)</f>
      </c>
    </row>
    <row r="1340">
      <c r="A1340" s="2" t="str">
        <v>02/05 ПН</v>
      </c>
      <c r="B1340" s="2" t="str">
        <v>17:30</v>
      </c>
      <c r="C1340" s="2" t="str">
        <v>УЗБЕКИСТАН УЗБЕКИСТАН</v>
      </c>
      <c r="D1340" s="2" t="str">
        <v>Пахтакор-АГМК</v>
      </c>
      <c r="E1340" s="3">
        <f>-</f>
      </c>
      <c r="F1340" s="3">
        <f>-</f>
      </c>
      <c r="G1340" s="3">
        <f>-</f>
      </c>
      <c r="H1340" s="3">
        <f>=ROUND((1000/((1000/E1340) + (1000/f1340))),2)</f>
      </c>
      <c r="I1340" s="3">
        <f>=ROUND((1000/((1000/E1340) + (1000/G1340))),2)</f>
      </c>
      <c r="J1340" s="3">
        <f>=ROUND((1000/((1000/F1340) + (1000/G1340))),2)</f>
      </c>
    </row>
    <row r="1341">
      <c r="A1341" s="2" t="str">
        <v>02/05 ПН</v>
      </c>
      <c r="B1341" s="2" t="str">
        <v>12:00</v>
      </c>
      <c r="C1341" s="2" t="str">
        <v>ФИЛИППИНЫ ФИЛИППИНЫ</v>
      </c>
      <c r="D1341" s="2" t="str">
        <v>Сталлион-Кая</v>
      </c>
      <c r="E1341" s="3">
        <f>-</f>
      </c>
      <c r="F1341" s="3">
        <f>-</f>
      </c>
      <c r="G1341" s="3">
        <f>-</f>
      </c>
      <c r="H1341" s="3">
        <f>=ROUND((1000/((1000/E1341) + (1000/f1341))),2)</f>
      </c>
      <c r="I1341" s="3">
        <f>=ROUND((1000/((1000/E1341) + (1000/G1341))),2)</f>
      </c>
      <c r="J1341" s="3">
        <f>=ROUND((1000/((1000/F1341) + (1000/G1341))),2)</f>
      </c>
    </row>
    <row r="1342">
      <c r="A1342" s="2" t="str">
        <v>02/05 ПН</v>
      </c>
      <c r="B1342" s="2" t="str">
        <v>15:15</v>
      </c>
      <c r="C1342" s="2" t="str">
        <v>ФИЛИППИНЫ ФИЛИППИНЫ</v>
      </c>
      <c r="D1342" s="2" t="str">
        <v>Cebu FC-Мендиола 1991</v>
      </c>
      <c r="E1342" s="3">
        <f>-</f>
      </c>
      <c r="F1342" s="3">
        <f>-</f>
      </c>
      <c r="G1342" s="3">
        <f>-</f>
      </c>
      <c r="H1342" s="3">
        <f>=ROUND((1000/((1000/E1342) + (1000/f1342))),2)</f>
      </c>
      <c r="I1342" s="3">
        <f>=ROUND((1000/((1000/E1342) + (1000/G1342))),2)</f>
      </c>
      <c r="J1342" s="3">
        <f>=ROUND((1000/((1000/F1342) + (1000/G1342))),2)</f>
      </c>
    </row>
    <row r="1343">
      <c r="A1343" s="2" t="str">
        <v>02/05 ПН</v>
      </c>
      <c r="B1343" s="2" t="str">
        <v>20:45</v>
      </c>
      <c r="C1343" s="2" t="str">
        <v>ФИНЛЯНДИЯ ФИНЛЯНДИЯ</v>
      </c>
      <c r="D1343" s="2" t="str">
        <v>Turku II-Палло-Ирот</v>
      </c>
      <c r="E1343" s="3">
        <f>-</f>
      </c>
      <c r="F1343" s="3">
        <f>-</f>
      </c>
      <c r="G1343" s="3">
        <f>-</f>
      </c>
      <c r="H1343" s="3">
        <f>=ROUND((1000/((1000/E1343) + (1000/f1343))),2)</f>
      </c>
      <c r="I1343" s="3">
        <f>=ROUND((1000/((1000/E1343) + (1000/G1343))),2)</f>
      </c>
      <c r="J1343" s="3">
        <f>=ROUND((1000/((1000/F1343) + (1000/G1343))),2)</f>
      </c>
    </row>
    <row r="1344">
      <c r="A1344" s="2" t="str">
        <v>02/05 ПН</v>
      </c>
      <c r="B1344" s="2" t="str">
        <v>22:45</v>
      </c>
      <c r="C1344" s="2" t="str">
        <v>ФРАНЦИЯ ФРАНЦИЯ</v>
      </c>
      <c r="D1344" s="2" t="str">
        <v>Родез-Тулуза</v>
      </c>
      <c r="E1344" s="3">
        <f>4.75</f>
      </c>
      <c r="F1344" s="3">
        <f>3.30</f>
      </c>
      <c r="G1344" s="3">
        <f>1.66</f>
      </c>
      <c r="H1344" s="3">
        <f>=ROUND((1000/((1000/E1344) + (1000/f1344))),2)</f>
      </c>
      <c r="I1344" s="3">
        <f>=ROUND((1000/((1000/E1344) + (1000/G1344))),2)</f>
      </c>
      <c r="J1344" s="3">
        <f>=ROUND((1000/((1000/F1344) + (1000/G1344))),2)</f>
      </c>
    </row>
    <row r="1345">
      <c r="A1345" s="2" t="str">
        <v>02/05 ПН</v>
      </c>
      <c r="B1345" s="2" t="str">
        <v>20:45</v>
      </c>
      <c r="C1345" s="2" t="str">
        <v>ФРАНЦИЯ ФРАНЦИЯ</v>
      </c>
      <c r="D1345" s="2" t="str">
        <v>Шамбли-Лаваль</v>
      </c>
      <c r="E1345" s="3">
        <f>-</f>
      </c>
      <c r="F1345" s="3">
        <f>-</f>
      </c>
      <c r="G1345" s="3">
        <f>-</f>
      </c>
      <c r="H1345" s="3">
        <f>=ROUND((1000/((1000/E1345) + (1000/f1345))),2)</f>
      </c>
      <c r="I1345" s="3">
        <f>=ROUND((1000/((1000/E1345) + (1000/G1345))),2)</f>
      </c>
      <c r="J1345" s="3">
        <f>=ROUND((1000/((1000/F1345) + (1000/G1345))),2)</f>
      </c>
    </row>
    <row r="1346">
      <c r="A1346" s="2" t="str">
        <v>02/05 ПН</v>
      </c>
      <c r="B1346" s="2" t="str">
        <v>19:00</v>
      </c>
      <c r="C1346" s="2" t="str">
        <v>ХОРВАТИЯ ХОРВАТИЯ</v>
      </c>
      <c r="D1346" s="2" t="str">
        <v>Динамо Загреб 2-Дубрава</v>
      </c>
      <c r="E1346" s="3">
        <f>-</f>
      </c>
      <c r="F1346" s="3">
        <f>-</f>
      </c>
      <c r="G1346" s="3">
        <f>-</f>
      </c>
      <c r="H1346" s="3">
        <f>=ROUND((1000/((1000/E1346) + (1000/f1346))),2)</f>
      </c>
      <c r="I1346" s="3">
        <f>=ROUND((1000/((1000/E1346) + (1000/G1346))),2)</f>
      </c>
      <c r="J1346" s="3">
        <f>=ROUND((1000/((1000/F1346) + (1000/G1346))),2)</f>
      </c>
    </row>
    <row r="1347">
      <c r="A1347" s="2" t="str">
        <v>02/05 ПН</v>
      </c>
      <c r="B1347" s="2" t="str">
        <v>19:00</v>
      </c>
      <c r="C1347" s="2" t="str">
        <v>ХОРВАТИЯ ХОРВАТИЯ</v>
      </c>
      <c r="D1347" s="2" t="str">
        <v>Осиек 2-Запрешич</v>
      </c>
      <c r="E1347" s="3">
        <f>-</f>
      </c>
      <c r="F1347" s="3">
        <f>-</f>
      </c>
      <c r="G1347" s="3">
        <f>-</f>
      </c>
      <c r="H1347" s="3">
        <f>=ROUND((1000/((1000/E1347) + (1000/f1347))),2)</f>
      </c>
      <c r="I1347" s="3">
        <f>=ROUND((1000/((1000/E1347) + (1000/G1347))),2)</f>
      </c>
      <c r="J1347" s="3">
        <f>=ROUND((1000/((1000/F1347) + (1000/G1347))),2)</f>
      </c>
    </row>
    <row r="1348">
      <c r="A1348" s="2" t="str">
        <v>02/05 ПН</v>
      </c>
      <c r="B1348" s="2" t="str">
        <v>21:00</v>
      </c>
      <c r="C1348" s="2" t="str">
        <v>ШВЕЦИЯ ШВЕЦИЯ</v>
      </c>
      <c r="D1348" s="2" t="str">
        <v>Гётеборг-Кальмар</v>
      </c>
      <c r="E1348" s="3">
        <f>2.25</f>
      </c>
      <c r="F1348" s="3">
        <f>3.25</f>
      </c>
      <c r="G1348" s="3">
        <f>3.30</f>
      </c>
      <c r="H1348" s="3">
        <f>=ROUND((1000/((1000/E1348) + (1000/f1348))),2)</f>
      </c>
      <c r="I1348" s="3">
        <f>=ROUND((1000/((1000/E1348) + (1000/G1348))),2)</f>
      </c>
      <c r="J1348" s="3">
        <f>=ROUND((1000/((1000/F1348) + (1000/G1348))),2)</f>
      </c>
    </row>
    <row r="1349">
      <c r="A1349" s="2" t="str">
        <v>02/05 ПН</v>
      </c>
      <c r="B1349" s="2" t="str">
        <v>21:00</v>
      </c>
      <c r="C1349" s="2" t="str">
        <v>ШВЕЦИЯ ШВЕЦИЯ</v>
      </c>
      <c r="D1349" s="2" t="str">
        <v>Норрчепинг-Вернаму</v>
      </c>
      <c r="E1349" s="3">
        <f>1.61</f>
      </c>
      <c r="F1349" s="3">
        <f>3.80</f>
      </c>
      <c r="G1349" s="3">
        <f>5.75</f>
      </c>
      <c r="H1349" s="3">
        <f>=ROUND((1000/((1000/E1349) + (1000/f1349))),2)</f>
      </c>
      <c r="I1349" s="3">
        <f>=ROUND((1000/((1000/E1349) + (1000/G1349))),2)</f>
      </c>
      <c r="J1349" s="3">
        <f>=ROUND((1000/((1000/F1349) + (1000/G1349))),2)</f>
      </c>
    </row>
    <row r="1350">
      <c r="A1350" s="2" t="str">
        <v>02/05 ПН</v>
      </c>
      <c r="B1350" s="2" t="str">
        <v>21:10</v>
      </c>
      <c r="C1350" s="2" t="str">
        <v>ШВЕЦИЯ ШВЕЦИЯ</v>
      </c>
      <c r="D1350" s="2" t="str">
        <v>Хаммарбю-Мальмё</v>
      </c>
      <c r="E1350" s="3">
        <f>2.40</f>
      </c>
      <c r="F1350" s="3">
        <f>3.40</f>
      </c>
      <c r="G1350" s="3">
        <f>2.90</f>
      </c>
      <c r="H1350" s="3">
        <f>=ROUND((1000/((1000/E1350) + (1000/f1350))),2)</f>
      </c>
      <c r="I1350" s="3">
        <f>=ROUND((1000/((1000/E1350) + (1000/G1350))),2)</f>
      </c>
      <c r="J1350" s="3">
        <f>=ROUND((1000/((1000/F1350) + (1000/G1350))),2)</f>
      </c>
    </row>
    <row r="1351">
      <c r="A1351" s="2" t="str">
        <v>02/05 ПН</v>
      </c>
      <c r="B1351" s="2" t="str">
        <v>21:00</v>
      </c>
      <c r="C1351" s="2" t="str">
        <v>ШВЕЦИЯ ШВЕЦИЯ</v>
      </c>
      <c r="D1351" s="2" t="str">
        <v>Далкурд-Эстер</v>
      </c>
      <c r="E1351" s="3">
        <f>3.60</f>
      </c>
      <c r="F1351" s="3">
        <f>3.25</f>
      </c>
      <c r="G1351" s="3">
        <f>2.15</f>
      </c>
      <c r="H1351" s="3">
        <f>=ROUND((1000/((1000/E1351) + (1000/f1351))),2)</f>
      </c>
      <c r="I1351" s="3">
        <f>=ROUND((1000/((1000/E1351) + (1000/G1351))),2)</f>
      </c>
      <c r="J1351" s="3">
        <f>=ROUND((1000/((1000/F1351) + (1000/G1351))),2)</f>
      </c>
    </row>
    <row r="1352">
      <c r="A1352" s="2" t="str">
        <v>02/05 ПН</v>
      </c>
      <c r="B1352" s="2" t="str">
        <v>21:00</v>
      </c>
      <c r="C1352" s="2" t="str">
        <v>ШВЕЦИЯ ШВЕЦИЯ</v>
      </c>
      <c r="D1352" s="2" t="str">
        <v>Норрби-Ландскруна</v>
      </c>
      <c r="E1352" s="3">
        <f>1.60</f>
      </c>
      <c r="F1352" s="3">
        <f>3.80</f>
      </c>
      <c r="G1352" s="3">
        <f>6.00</f>
      </c>
      <c r="H1352" s="3">
        <f>=ROUND((1000/((1000/E1352) + (1000/f1352))),2)</f>
      </c>
      <c r="I1352" s="3">
        <f>=ROUND((1000/((1000/E1352) + (1000/G1352))),2)</f>
      </c>
      <c r="J1352" s="3">
        <f>=ROUND((1000/((1000/F1352) + (1000/G1352))),2)</f>
      </c>
    </row>
    <row r="1353">
      <c r="A1353" s="2" t="str">
        <v>02/05 ПН</v>
      </c>
      <c r="B1353" s="2" t="str">
        <v>21:00</v>
      </c>
      <c r="C1353" s="2" t="str">
        <v>ШВЕЦИЯ ШВЕЦИЯ</v>
      </c>
      <c r="D1353" s="2" t="str">
        <v>Тролльхеттан-Фалькенберг</v>
      </c>
      <c r="E1353" s="3">
        <f>-</f>
      </c>
      <c r="F1353" s="3">
        <f>-</f>
      </c>
      <c r="G1353" s="3">
        <f>-</f>
      </c>
      <c r="H1353" s="3">
        <f>=ROUND((1000/((1000/E1353) + (1000/f1353))),2)</f>
      </c>
      <c r="I1353" s="3">
        <f>=ROUND((1000/((1000/E1353) + (1000/G1353))),2)</f>
      </c>
      <c r="J1353" s="3">
        <f>=ROUND((1000/((1000/F1353) + (1000/G1353))),2)</f>
      </c>
    </row>
    <row r="1354">
      <c r="A1354" s="2" t="str">
        <v>02/05 ПН</v>
      </c>
      <c r="B1354" s="2" t="str">
        <v>21:00</v>
      </c>
      <c r="C1354" s="2" t="str">
        <v>ШВЕЦИЯ ШВЕЦИЯ</v>
      </c>
      <c r="D1354" s="2" t="str">
        <v>Линкепингс (Ж)-Эребру (Ж)</v>
      </c>
      <c r="E1354" s="3">
        <f>-</f>
      </c>
      <c r="F1354" s="3">
        <f>-</f>
      </c>
      <c r="G1354" s="3">
        <f>-</f>
      </c>
      <c r="H1354" s="3">
        <f>=ROUND((1000/((1000/E1354) + (1000/f1354))),2)</f>
      </c>
      <c r="I1354" s="3">
        <f>=ROUND((1000/((1000/E1354) + (1000/G1354))),2)</f>
      </c>
      <c r="J1354" s="3">
        <f>=ROUND((1000/((1000/F1354) + (1000/G1354))),2)</f>
      </c>
    </row>
    <row r="1355">
      <c r="A1355" s="2" t="str">
        <v>02/05 ПН</v>
      </c>
      <c r="B1355" s="2" t="str">
        <v>01:30</v>
      </c>
      <c r="C1355" s="2" t="str">
        <v>ЭКВАДОР ЭКВАДОР</v>
      </c>
      <c r="D1355" s="2" t="str">
        <v>Кумбайя-Депортиво Куэнка</v>
      </c>
      <c r="E1355" s="3">
        <f>2.60</f>
      </c>
      <c r="F1355" s="3">
        <f>3.10</f>
      </c>
      <c r="G1355" s="3">
        <f>2.90</f>
      </c>
      <c r="H1355" s="3">
        <f>=ROUND((1000/((1000/E1355) + (1000/f1355))),2)</f>
      </c>
      <c r="I1355" s="3">
        <f>=ROUND((1000/((1000/E1355) + (1000/G1355))),2)</f>
      </c>
      <c r="J1355" s="3">
        <f>=ROUND((1000/((1000/F1355) + (1000/G1355))),2)</f>
      </c>
    </row>
    <row r="1356">
      <c r="A1356" s="2" t="str">
        <v>02/05 ПН</v>
      </c>
      <c r="B1356" s="2" t="str">
        <v>04:00</v>
      </c>
      <c r="C1356" s="2" t="str">
        <v>ЭКВАДОР ЭКВАДОР</v>
      </c>
      <c r="D1356" s="2" t="str">
        <v>Индепендьенте дель Валье-ЛДУ Кито</v>
      </c>
      <c r="E1356" s="3">
        <f>1.75</f>
      </c>
      <c r="F1356" s="3">
        <f>3.75</f>
      </c>
      <c r="G1356" s="3">
        <f>4.75</f>
      </c>
      <c r="H1356" s="3">
        <f>=ROUND((1000/((1000/E1356) + (1000/f1356))),2)</f>
      </c>
      <c r="I1356" s="3">
        <f>=ROUND((1000/((1000/E1356) + (1000/G1356))),2)</f>
      </c>
      <c r="J1356" s="3">
        <f>=ROUND((1000/((1000/F1356) + (1000/G1356))),2)</f>
      </c>
    </row>
    <row r="1357">
      <c r="A1357" s="2" t="str">
        <v>02/05 ПН</v>
      </c>
      <c r="B1357" s="2" t="str">
        <v>20:00</v>
      </c>
      <c r="C1357" s="2" t="str">
        <v>ЭСТОНИЯ ЭСТОНИЯ</v>
      </c>
      <c r="D1357" s="2" t="str">
        <v>Пайде U21-Виймси</v>
      </c>
      <c r="E1357" s="3">
        <f>-</f>
      </c>
      <c r="F1357" s="3">
        <f>-</f>
      </c>
      <c r="G1357" s="3">
        <f>-</f>
      </c>
      <c r="H1357" s="3">
        <f>=ROUND((1000/((1000/E1357) + (1000/f1357))),2)</f>
      </c>
      <c r="I1357" s="3">
        <f>=ROUND((1000/((1000/E1357) + (1000/G1357))),2)</f>
      </c>
      <c r="J1357" s="3">
        <f>=ROUND((1000/((1000/F1357) + (1000/G1357))),2)</f>
      </c>
    </row>
    <row r="1358">
      <c r="A1358" s="2" t="str">
        <v>02/05 ПН</v>
      </c>
      <c r="B1358" s="2" t="str">
        <v>20:00</v>
      </c>
      <c r="C1358" s="2" t="str">
        <v>ЭСТОНИЯ ЭСТОНИЯ</v>
      </c>
      <c r="D1358" s="2" t="str">
        <v>Флора U21-Харью Ялгпаликооли</v>
      </c>
      <c r="E1358" s="3">
        <f>-</f>
      </c>
      <c r="F1358" s="3">
        <f>-</f>
      </c>
      <c r="G1358" s="3">
        <f>-</f>
      </c>
      <c r="H1358" s="3">
        <f>=ROUND((1000/((1000/E1358) + (1000/f1358))),2)</f>
      </c>
      <c r="I1358" s="3">
        <f>=ROUND((1000/((1000/E1358) + (1000/G1358))),2)</f>
      </c>
      <c r="J1358" s="3">
        <f>=ROUND((1000/((1000/F1358) + (1000/G1358))),2)</f>
      </c>
    </row>
    <row r="1359">
      <c r="A1359" s="2" t="str">
        <v>02/05 ПН</v>
      </c>
      <c r="B1359" s="2" t="str">
        <v>20:00</v>
      </c>
      <c r="C1359" s="2" t="str">
        <v>ЭСТОНИЯ ЭСТОНИЯ</v>
      </c>
      <c r="D1359" s="2" t="str">
        <v>Элва-ФК Альянс</v>
      </c>
      <c r="E1359" s="3">
        <f>-</f>
      </c>
      <c r="F1359" s="3">
        <f>-</f>
      </c>
      <c r="G1359" s="3">
        <f>-</f>
      </c>
      <c r="H1359" s="3">
        <f>=ROUND((1000/((1000/E1359) + (1000/f1359))),2)</f>
      </c>
      <c r="I1359" s="3">
        <f>=ROUND((1000/((1000/E1359) + (1000/G1359))),2)</f>
      </c>
      <c r="J1359" s="3">
        <f>=ROUND((1000/((1000/F1359) + (1000/G1359))),2)</f>
      </c>
    </row>
    <row r="1360">
      <c r="A1360" s="2" t="str">
        <v>02/05 ПН</v>
      </c>
      <c r="B1360" s="2" t="str">
        <v>16:00</v>
      </c>
      <c r="C1360" s="2" t="str">
        <v>ЭФИОПИЯ ЭФИОПИЯ</v>
      </c>
      <c r="D1360" s="2" t="str">
        <v>Addis Ababa Ketema-Хоссана Сити</v>
      </c>
      <c r="E1360" s="3">
        <f>-</f>
      </c>
      <c r="F1360" s="3">
        <f>-</f>
      </c>
      <c r="G1360" s="3">
        <f>-</f>
      </c>
      <c r="H1360" s="3">
        <f>=ROUND((1000/((1000/E1360) + (1000/f1360))),2)</f>
      </c>
      <c r="I1360" s="3">
        <f>=ROUND((1000/((1000/E1360) + (1000/G1360))),2)</f>
      </c>
      <c r="J1360" s="3">
        <f>=ROUND((1000/((1000/F1360) + (1000/G1360))),2)</f>
      </c>
    </row>
    <row r="1361">
      <c r="A1361" s="2" t="str">
        <v>02/05 ПН</v>
      </c>
      <c r="B1361" s="2" t="str">
        <v>19:00</v>
      </c>
      <c r="C1361" s="2" t="str">
        <v>ЭФИОПИЯ ЭФИОПИЯ</v>
      </c>
      <c r="D1361" s="2" t="str">
        <v>Fasil Kenema-Велайта Дича</v>
      </c>
      <c r="E1361" s="3">
        <f>-</f>
      </c>
      <c r="F1361" s="3">
        <f>-</f>
      </c>
      <c r="G1361" s="3">
        <f>-</f>
      </c>
      <c r="H1361" s="3">
        <f>=ROUND((1000/((1000/E1361) + (1000/f1361))),2)</f>
      </c>
      <c r="I1361" s="3">
        <f>=ROUND((1000/((1000/E1361) + (1000/G1361))),2)</f>
      </c>
      <c r="J1361" s="3">
        <f>=ROUND((1000/((1000/F1361) + (1000/G1361))),2)</f>
      </c>
    </row>
    <row r="1362">
      <c r="A1362" s="2" t="str">
        <v>02/05 ПН</v>
      </c>
      <c r="B1362" s="2" t="str">
        <v>17:00</v>
      </c>
      <c r="C1362" s="2" t="str">
        <v>ЮЖНАЯ АФРИКА ЮЖНАЯ АФРИКА</v>
      </c>
      <c r="D1362" s="2" t="str">
        <v>ТС Гэлакси-Орландо Пайратс</v>
      </c>
      <c r="E1362" s="3">
        <f>-</f>
      </c>
      <c r="F1362" s="3">
        <f>-</f>
      </c>
      <c r="G1362" s="3">
        <f>-</f>
      </c>
      <c r="H1362" s="3">
        <f>=ROUND((1000/((1000/E1362) + (1000/f1362))),2)</f>
      </c>
      <c r="I1362" s="3">
        <f>=ROUND((1000/((1000/E1362) + (1000/G1362))),2)</f>
      </c>
      <c r="J1362" s="3">
        <f>=ROUND((1000/((1000/F1362) + (1000/G1362))),2)</f>
      </c>
    </row>
    <row r="1363">
      <c r="A1363" s="2" t="str">
        <v>02/05 ПН</v>
      </c>
      <c r="B1363" s="2" t="str">
        <v>00:00</v>
      </c>
      <c r="C1363" s="2" t="str">
        <v>ЯМАЙКА ЯМАЙКА</v>
      </c>
      <c r="D1363" s="2" t="str">
        <v>Маунт Плезант-Данбихолден</v>
      </c>
      <c r="E1363" s="3">
        <f>-</f>
      </c>
      <c r="F1363" s="3">
        <f>-</f>
      </c>
      <c r="G1363" s="3">
        <f>-</f>
      </c>
      <c r="H1363" s="3">
        <f>=ROUND((1000/((1000/E1363) + (1000/f1363))),2)</f>
      </c>
      <c r="I1363" s="3">
        <f>=ROUND((1000/((1000/E1363) + (1000/G1363))),2)</f>
      </c>
      <c r="J1363" s="3">
        <f>=ROUND((1000/((1000/F1363) + (1000/G1363))),2)</f>
      </c>
    </row>
    <row r="1364">
      <c r="A1364" s="2" t="str">
        <v>02/05 ПН</v>
      </c>
      <c r="B1364" s="2" t="str">
        <v>00:00</v>
      </c>
      <c r="C1364" s="2" t="str">
        <v>ЯМАЙКА ЯМАЙКА</v>
      </c>
      <c r="D1364" s="2" t="str">
        <v>Уэре Юнайтед-Арнетт Гарденс</v>
      </c>
      <c r="E1364" s="3">
        <f>-</f>
      </c>
      <c r="F1364" s="3">
        <f>-</f>
      </c>
      <c r="G1364" s="3">
        <f>-</f>
      </c>
      <c r="H1364" s="3">
        <f>=ROUND((1000/((1000/E1364) + (1000/f1364))),2)</f>
      </c>
      <c r="I1364" s="3">
        <f>=ROUND((1000/((1000/E1364) + (1000/G1364))),2)</f>
      </c>
      <c r="J1364" s="3">
        <f>=ROUND((1000/((1000/F1364) + (1000/G1364))),2)</f>
      </c>
    </row>
    <row r="1365">
      <c r="A1365" s="2" t="str">
        <v>02/05 ПН</v>
      </c>
      <c r="B1365" s="2" t="str">
        <v>00:00</v>
      </c>
      <c r="C1365" s="2" t="str">
        <v>ЯМАЙКА ЯМАЙКА</v>
      </c>
      <c r="D1365" s="2" t="str">
        <v>Хамбл Лайонс-Портмор</v>
      </c>
      <c r="E1365" s="3">
        <f>-</f>
      </c>
      <c r="F1365" s="3">
        <f>-</f>
      </c>
      <c r="G1365" s="3">
        <f>-</f>
      </c>
      <c r="H1365" s="3">
        <f>=ROUND((1000/((1000/E1365) + (1000/f1365))),2)</f>
      </c>
      <c r="I1365" s="3">
        <f>=ROUND((1000/((1000/E1365) + (1000/G1365))),2)</f>
      </c>
      <c r="J1365" s="3">
        <f>=ROUND((1000/((1000/F1365) + (1000/G1365))),2)</f>
      </c>
    </row>
  </sheetData>
  <ignoredErrors>
    <ignoredError numberStoredAsText="1" sqref="A1:J136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12.0000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2022-04-30T07:31:53Z</dcterms:created>
  <dcterms:modified xsi:type="dcterms:W3CDTF">2022-04-30T07:31:53Z</dcterms:modified>
</cp:coreProperties>
</file>